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ivera\Documents\P1350\ajustes mayo 2019\Revisión final con EPM\Puesta a tierra\"/>
    </mc:Choice>
  </mc:AlternateContent>
  <xr:revisionPtr revIDLastSave="0" documentId="8_{23068DFC-9B8F-46CB-961E-C12356BDA976}" xr6:coauthVersionLast="44" xr6:coauthVersionMax="44" xr10:uidLastSave="{00000000-0000-0000-0000-000000000000}"/>
  <bookViews>
    <workbookView xWindow="-17655" yWindow="3450" windowWidth="25200" windowHeight="15120" xr2:uid="{3B6A71E7-5569-45D1-9BD2-9C11BA169DC3}"/>
  </bookViews>
  <sheets>
    <sheet name="malla" sheetId="2" r:id="rId1"/>
    <sheet name="Memoria" sheetId="1" r:id="rId2"/>
  </sheets>
  <definedNames>
    <definedName name="Ac_">Memoria!$D$13</definedName>
    <definedName name="Acr_" comment="Sección Transversal del conductor">malla!$C$14</definedName>
    <definedName name="Criterio1">Memoria!$E$36</definedName>
    <definedName name="Criterio2">Memoria!$E$48</definedName>
    <definedName name="Criterio3">Memoria!$E$52</definedName>
    <definedName name="Cs_">Memoria!$D$24</definedName>
    <definedName name="D_">Memoria!$D$15</definedName>
    <definedName name="dc_">Memoria!#REF!</definedName>
    <definedName name="Dcr_">Memoria!$D$32</definedName>
    <definedName name="Ecl_">Memoria!$D$25</definedName>
    <definedName name="Epl_">Memoria!$D$27</definedName>
    <definedName name="Gpr_">Memoria!$D$34</definedName>
    <definedName name="h_">Memoria!$D$6</definedName>
    <definedName name="hs_">Memoria!$D$17</definedName>
    <definedName name="I_">malla!$C$5</definedName>
    <definedName name="IeMag">Memoria!$D$21</definedName>
    <definedName name="Kf_">Memoria!$D$12</definedName>
    <definedName name="Kh_">Memoria!$D$42</definedName>
    <definedName name="Ki_">Memoria!$D$43</definedName>
    <definedName name="Kii_">Memoria!$D$44</definedName>
    <definedName name="Km_">Memoria!$D$45</definedName>
    <definedName name="Ks_">Memoria!$D$49</definedName>
    <definedName name="L1_">Memoria!$D$9</definedName>
    <definedName name="L2_">Memoria!$D$10</definedName>
    <definedName name="Lc_">Memoria!$D$30</definedName>
    <definedName name="Lp_">Memoria!$D$37</definedName>
    <definedName name="Lt_">Memoria!$D$31</definedName>
    <definedName name="Lv_">Memoria!$D$8</definedName>
    <definedName name="Material_a_usar">malla!$A$13</definedName>
    <definedName name="Materiales" comment="Materiales para constantes de tierra">Memoria!$H$7:$I$16</definedName>
    <definedName name="N_">Memoria!$D$7</definedName>
    <definedName name="na_">Memoria!$D$38</definedName>
    <definedName name="nb_">Memoria!$D$39</definedName>
    <definedName name="nc_">Memoria!$D$40</definedName>
    <definedName name="nd_">Memoria!$D$41</definedName>
    <definedName name="re_">Memoria!$D$22</definedName>
    <definedName name="Rg_">Memoria!$D$33</definedName>
    <definedName name="rs_">Memoria!$D$23</definedName>
    <definedName name="solver_adj" localSheetId="1" hidden="1">Memoria!$D$21,Memoria!$D$22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Memoria!$D$34</definedName>
    <definedName name="solver_lhs2" localSheetId="1" hidden="1">Memoria!$D$46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2</definedName>
    <definedName name="solver_nwt" localSheetId="1" hidden="1">1</definedName>
    <definedName name="solver_opt" localSheetId="1" hidden="1">Memoria!$D$50</definedName>
    <definedName name="solver_pre" localSheetId="1" hidden="1">0.000001</definedName>
    <definedName name="solver_rbv" localSheetId="1" hidden="1">1</definedName>
    <definedName name="solver_rel1" localSheetId="1" hidden="1">2</definedName>
    <definedName name="solver_rel2" localSheetId="1" hidden="1">2</definedName>
    <definedName name="solver_rhs1" localSheetId="1" hidden="1">29180</definedName>
    <definedName name="solver_rhs2" localSheetId="1" hidden="1">6434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3530</definedName>
    <definedName name="solver_ver" localSheetId="1" hidden="1">3</definedName>
    <definedName name="TCC_">malla!$C$6</definedName>
    <definedName name="ts_">Memoria!$D$18</definedName>
    <definedName name="Vmalla">Memoria!$D$46</definedName>
    <definedName name="Vpaso">Memoria!$D$50</definedName>
    <definedName name="W_">Memoria!$D$19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C13" i="1"/>
  <c r="C14" i="2"/>
  <c r="A13" i="1" l="1"/>
  <c r="D14" i="1"/>
  <c r="A14" i="1"/>
  <c r="D12" i="1"/>
  <c r="B11" i="1" l="1"/>
  <c r="A11" i="1"/>
  <c r="D16" i="1" l="1"/>
  <c r="A16" i="1"/>
  <c r="C19" i="1"/>
  <c r="D19" i="1"/>
  <c r="A19" i="1"/>
  <c r="D18" i="1" l="1"/>
  <c r="C7" i="1"/>
  <c r="C8" i="1"/>
  <c r="C9" i="1"/>
  <c r="C10" i="1"/>
  <c r="C15" i="1"/>
  <c r="C17" i="1"/>
  <c r="C18" i="1"/>
  <c r="C6" i="1"/>
  <c r="A7" i="1"/>
  <c r="A8" i="1"/>
  <c r="A9" i="1"/>
  <c r="A10" i="1"/>
  <c r="A15" i="1"/>
  <c r="A17" i="1"/>
  <c r="A18" i="1"/>
  <c r="A6" i="1"/>
  <c r="D17" i="1"/>
  <c r="D22" i="1"/>
  <c r="D21" i="1"/>
  <c r="D15" i="1"/>
  <c r="D10" i="1"/>
  <c r="D9" i="1"/>
  <c r="D8" i="1"/>
  <c r="D7" i="1"/>
  <c r="D6" i="1"/>
  <c r="D13" i="1" l="1"/>
  <c r="D23" i="1"/>
  <c r="D24" i="1" s="1"/>
  <c r="D25" i="1" s="1"/>
  <c r="D30" i="1"/>
  <c r="D42" i="1"/>
  <c r="D37" i="1"/>
  <c r="D32" i="1"/>
  <c r="D40" i="1" s="1"/>
  <c r="D39" i="1" l="1"/>
  <c r="D27" i="1"/>
  <c r="D38" i="1"/>
  <c r="D31" i="1"/>
  <c r="D33" i="1" s="1"/>
  <c r="D34" i="1" s="1"/>
  <c r="E36" i="1" l="1"/>
  <c r="E35" i="1"/>
  <c r="D41" i="1"/>
  <c r="D44" i="1" s="1"/>
  <c r="D45" i="1" s="1"/>
  <c r="D49" i="1" l="1"/>
  <c r="D43" i="1"/>
  <c r="D46" i="1" s="1"/>
  <c r="D50" i="1" l="1"/>
  <c r="B51" i="1" s="1"/>
  <c r="B47" i="1" l="1"/>
  <c r="E48" i="1"/>
  <c r="E52" i="1"/>
  <c r="A55" i="1" l="1"/>
  <c r="A24" i="2" s="1"/>
</calcChain>
</file>

<file path=xl/sharedStrings.xml><?xml version="1.0" encoding="utf-8"?>
<sst xmlns="http://schemas.openxmlformats.org/spreadsheetml/2006/main" count="129" uniqueCount="105">
  <si>
    <t>h</t>
  </si>
  <si>
    <t>N</t>
  </si>
  <si>
    <t>Lv</t>
  </si>
  <si>
    <t>L1</t>
  </si>
  <si>
    <t>L2</t>
  </si>
  <si>
    <t>Profundidad de enterramiento de malla</t>
  </si>
  <si>
    <t>Item</t>
  </si>
  <si>
    <t>Id</t>
  </si>
  <si>
    <t>Número de varillas</t>
  </si>
  <si>
    <t>Valor</t>
  </si>
  <si>
    <t>Unidad</t>
  </si>
  <si>
    <t>m</t>
  </si>
  <si>
    <t>Longitud de varillas</t>
  </si>
  <si>
    <t>Longitud de la malla en el eje X</t>
  </si>
  <si>
    <t>Longitud de la malla en el eje Y</t>
  </si>
  <si>
    <t>Espaciamiento entre conductores</t>
  </si>
  <si>
    <t>D</t>
  </si>
  <si>
    <t>Lc</t>
  </si>
  <si>
    <t>Longitud total</t>
  </si>
  <si>
    <t>Lt</t>
  </si>
  <si>
    <t>Area cubierta por la malla</t>
  </si>
  <si>
    <t>A</t>
  </si>
  <si>
    <t>m2</t>
  </si>
  <si>
    <t>Rg</t>
  </si>
  <si>
    <t>W</t>
  </si>
  <si>
    <t>Cálculo de la elevación máxima de tensión para malla propuesta</t>
  </si>
  <si>
    <t>Gpr</t>
  </si>
  <si>
    <t>IeMag</t>
  </si>
  <si>
    <t>Lp</t>
  </si>
  <si>
    <t>na</t>
  </si>
  <si>
    <t>nb</t>
  </si>
  <si>
    <t>nc</t>
  </si>
  <si>
    <t>nd</t>
  </si>
  <si>
    <t>Kh</t>
  </si>
  <si>
    <t>Ki</t>
  </si>
  <si>
    <t>Kii</t>
  </si>
  <si>
    <t>Km</t>
  </si>
  <si>
    <t>r</t>
  </si>
  <si>
    <t>Ks</t>
  </si>
  <si>
    <t>Vpaso</t>
  </si>
  <si>
    <t>Resistividad aparente del suelo</t>
  </si>
  <si>
    <t>Resistencia de puesta a tierra para mallas cuadradas rectangulares (Resistencia de Sverak)</t>
  </si>
  <si>
    <t>Corriente que soportará el sistema de puesta a tierra</t>
  </si>
  <si>
    <t>Longitud total del conductor enterrado y electrodos de puesta a tierra</t>
  </si>
  <si>
    <t>Tensión inducida en la malla de diseño preliminar</t>
  </si>
  <si>
    <t>Tensión de Paso</t>
  </si>
  <si>
    <t>Tensión de paso Tolerable</t>
  </si>
  <si>
    <t>Concepto:</t>
  </si>
  <si>
    <t>Parámetros de Entrada</t>
  </si>
  <si>
    <t>Cálculos  para mallas</t>
  </si>
  <si>
    <t>Vmalla</t>
  </si>
  <si>
    <t>kA</t>
  </si>
  <si>
    <r>
      <t>W-</t>
    </r>
    <r>
      <rPr>
        <sz val="11"/>
        <color theme="1"/>
        <rFont val="Calibri"/>
        <family val="2"/>
        <scheme val="minor"/>
      </rPr>
      <t>m</t>
    </r>
  </si>
  <si>
    <r>
      <t>r</t>
    </r>
    <r>
      <rPr>
        <sz val="11"/>
        <color theme="1"/>
        <rFont val="Calibri"/>
        <family val="2"/>
      </rPr>
      <t>s</t>
    </r>
  </si>
  <si>
    <t xml:space="preserve">Resistividad aparente de la capa superficial </t>
  </si>
  <si>
    <r>
      <t>W-</t>
    </r>
    <r>
      <rPr>
        <sz val="11"/>
        <color theme="1"/>
        <rFont val="Calibri"/>
        <family val="2"/>
      </rPr>
      <t>m</t>
    </r>
  </si>
  <si>
    <t>Coeficiente en función del terreno y la capa superficial</t>
  </si>
  <si>
    <t>Cs</t>
  </si>
  <si>
    <t>Espesor de la capa superficial</t>
  </si>
  <si>
    <t>hs</t>
  </si>
  <si>
    <t>Tensión de contacto tolerable</t>
  </si>
  <si>
    <t>Ecl</t>
  </si>
  <si>
    <t>Tiempo de despegue de falla</t>
  </si>
  <si>
    <t>s</t>
  </si>
  <si>
    <t>ts</t>
  </si>
  <si>
    <t>V</t>
  </si>
  <si>
    <t>kg</t>
  </si>
  <si>
    <t>Peso referencia Persona</t>
  </si>
  <si>
    <t>w</t>
  </si>
  <si>
    <t>Epl</t>
  </si>
  <si>
    <t>Se tiene previsto capa superficial de grava?</t>
  </si>
  <si>
    <t>Si</t>
  </si>
  <si>
    <t>Punto de analisis 1: Si (Ecl-Gpr)&gt;0, Se acepta Malla</t>
  </si>
  <si>
    <t>Evaluación</t>
  </si>
  <si>
    <t>Resultado C1</t>
  </si>
  <si>
    <t>Resultado C2</t>
  </si>
  <si>
    <t>Resultado C3</t>
  </si>
  <si>
    <t>Material a Utilizar</t>
  </si>
  <si>
    <t>Cobre Blando</t>
  </si>
  <si>
    <t>Cobre Duro cuando se utiliza soldadura exotérmica</t>
  </si>
  <si>
    <t>Cobre duro cuando utiliza conexiones mecánicas a presión</t>
  </si>
  <si>
    <t>Alambre de acero recubierto de cobre Conductividad 40%</t>
  </si>
  <si>
    <t>Alambre de acero recubierto de cobre Conductividad 30%</t>
  </si>
  <si>
    <t>Acero 1020</t>
  </si>
  <si>
    <t>Varilla de acero recubierta de cobre</t>
  </si>
  <si>
    <t>Varilla de acero galvanizado</t>
  </si>
  <si>
    <t>Varilla de acero con baño de cinc</t>
  </si>
  <si>
    <t>Acero inoxidable 304</t>
  </si>
  <si>
    <t>Kf: Constante a diferentes temperaturas</t>
  </si>
  <si>
    <t>Materiales</t>
  </si>
  <si>
    <t>Seleccione el material para la puesta a tierra</t>
  </si>
  <si>
    <t>Constante del Material</t>
  </si>
  <si>
    <t>Kf</t>
  </si>
  <si>
    <t>Ac</t>
  </si>
  <si>
    <t>Dcr</t>
  </si>
  <si>
    <t>Diametro de Conductor Comercial a usar</t>
  </si>
  <si>
    <t>Diametro del  Conductor de referencia</t>
  </si>
  <si>
    <t>kcmil</t>
  </si>
  <si>
    <t>AWG</t>
  </si>
  <si>
    <t>4/0</t>
  </si>
  <si>
    <t>3/0</t>
  </si>
  <si>
    <t>2/0</t>
  </si>
  <si>
    <t>Area nominal
(mm2)</t>
  </si>
  <si>
    <t>Diametro
(m)</t>
  </si>
  <si>
    <t>Dimensiones del conductor de puesta a tierra
 (valores comerciales de referencia)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</si>
</sst>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.00000_);_(* \(#,##0.00000\);_(* &quot;-&quot;??_);_(@_)"/>
    <numFmt numFmtId="165" formatCode="_(* #,##0.000_);_(* \(#,##0.000\);_(* &quot;-&quot;??_);_(@_)"/>
    <numFmt numFmtId="166" formatCode="0.000"/>
    <numFmt numFmtId="167" formatCode="_(* #,##0.0000_);_(* \(#,##0.0000\);_(* &quot;-&quot;??_);_(@_)"/>
    <numFmt numFmtId="170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 wrapText="1"/>
    </xf>
    <xf numFmtId="0" fontId="3" fillId="0" borderId="0" xfId="0" applyFont="1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1" xfId="0" applyFont="1" applyBorder="1"/>
    <xf numFmtId="0" fontId="0" fillId="0" borderId="8" xfId="0" applyBorder="1"/>
    <xf numFmtId="0" fontId="0" fillId="2" borderId="11" xfId="0" applyFill="1" applyBorder="1"/>
    <xf numFmtId="0" fontId="0" fillId="0" borderId="12" xfId="0" applyBorder="1" applyAlignment="1">
      <alignment horizontal="center" vertical="center" wrapText="1"/>
    </xf>
    <xf numFmtId="43" fontId="0" fillId="0" borderId="12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0" fillId="0" borderId="18" xfId="0" applyBorder="1"/>
    <xf numFmtId="0" fontId="2" fillId="0" borderId="9" xfId="0" applyFont="1" applyBorder="1"/>
    <xf numFmtId="0" fontId="0" fillId="0" borderId="1" xfId="0" applyFill="1" applyBorder="1"/>
    <xf numFmtId="0" fontId="0" fillId="2" borderId="24" xfId="0" applyFill="1" applyBorder="1"/>
    <xf numFmtId="0" fontId="0" fillId="3" borderId="11" xfId="0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3" fillId="4" borderId="2" xfId="0" applyFont="1" applyFill="1" applyBorder="1"/>
    <xf numFmtId="0" fontId="0" fillId="4" borderId="19" xfId="0" applyFill="1" applyBorder="1"/>
    <xf numFmtId="0" fontId="0" fillId="4" borderId="18" xfId="0" applyFill="1" applyBorder="1"/>
    <xf numFmtId="0" fontId="3" fillId="3" borderId="6" xfId="0" applyFont="1" applyFill="1" applyBorder="1" applyAlignment="1">
      <alignment horizontal="left" vertical="center" wrapText="1"/>
    </xf>
    <xf numFmtId="0" fontId="0" fillId="3" borderId="0" xfId="0" applyFill="1"/>
    <xf numFmtId="43" fontId="0" fillId="0" borderId="3" xfId="1" applyFont="1" applyFill="1" applyBorder="1"/>
    <xf numFmtId="43" fontId="0" fillId="0" borderId="5" xfId="1" applyFont="1" applyFill="1" applyBorder="1"/>
    <xf numFmtId="43" fontId="0" fillId="0" borderId="7" xfId="1" applyFont="1" applyFill="1" applyBorder="1"/>
    <xf numFmtId="0" fontId="0" fillId="3" borderId="6" xfId="0" applyFill="1" applyBorder="1"/>
    <xf numFmtId="0" fontId="0" fillId="3" borderId="16" xfId="0" applyFill="1" applyBorder="1"/>
    <xf numFmtId="0" fontId="0" fillId="3" borderId="17" xfId="0" applyFill="1" applyBorder="1"/>
    <xf numFmtId="0" fontId="0" fillId="0" borderId="0" xfId="0" applyFill="1"/>
    <xf numFmtId="0" fontId="0" fillId="0" borderId="0" xfId="0" applyFill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29" xfId="1" applyNumberFormat="1" applyFont="1" applyBorder="1" applyAlignment="1">
      <alignment horizontal="left" vertical="center" wrapText="1"/>
    </xf>
    <xf numFmtId="0" fontId="0" fillId="0" borderId="1" xfId="0" applyFont="1" applyBorder="1" applyAlignment="1"/>
    <xf numFmtId="164" fontId="0" fillId="0" borderId="1" xfId="1" applyNumberFormat="1" applyFont="1" applyBorder="1" applyAlignment="1"/>
    <xf numFmtId="0" fontId="3" fillId="0" borderId="29" xfId="0" applyFont="1" applyBorder="1" applyAlignment="1"/>
    <xf numFmtId="43" fontId="0" fillId="0" borderId="1" xfId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1" applyNumberFormat="1" applyFont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64" fontId="0" fillId="0" borderId="29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26" xfId="0" applyFill="1" applyBorder="1"/>
    <xf numFmtId="0" fontId="0" fillId="2" borderId="27" xfId="0" applyFill="1" applyBorder="1"/>
    <xf numFmtId="0" fontId="0" fillId="4" borderId="11" xfId="0" applyFill="1" applyBorder="1"/>
    <xf numFmtId="0" fontId="3" fillId="5" borderId="10" xfId="0" applyFont="1" applyFill="1" applyBorder="1" applyAlignment="1">
      <alignment horizontal="left" vertical="center" wrapText="1"/>
    </xf>
    <xf numFmtId="0" fontId="0" fillId="5" borderId="12" xfId="0" applyFill="1" applyBorder="1" applyAlignment="1">
      <alignment horizontal="center" vertical="center" wrapText="1"/>
    </xf>
    <xf numFmtId="43" fontId="0" fillId="5" borderId="12" xfId="1" applyFont="1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43" fontId="0" fillId="5" borderId="26" xfId="1" applyFont="1" applyFill="1" applyBorder="1" applyAlignment="1">
      <alignment horizontal="center" vertical="center" wrapText="1"/>
    </xf>
    <xf numFmtId="43" fontId="0" fillId="5" borderId="27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0" fillId="0" borderId="25" xfId="1" applyNumberFormat="1" applyFont="1" applyBorder="1" applyAlignment="1">
      <alignment horizontal="center" vertical="center" wrapText="1"/>
    </xf>
    <xf numFmtId="166" fontId="0" fillId="0" borderId="0" xfId="0" applyNumberFormat="1"/>
    <xf numFmtId="167" fontId="0" fillId="0" borderId="12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Font="1" applyBorder="1" applyAlignment="1" applyProtection="1">
      <alignment horizontal="right"/>
      <protection locked="0"/>
    </xf>
    <xf numFmtId="0" fontId="0" fillId="0" borderId="29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/>
    </xf>
    <xf numFmtId="0" fontId="3" fillId="4" borderId="16" xfId="0" applyFont="1" applyFill="1" applyBorder="1" applyAlignment="1">
      <alignment horizontal="left"/>
    </xf>
    <xf numFmtId="0" fontId="3" fillId="4" borderId="17" xfId="0" applyFont="1" applyFill="1" applyBorder="1" applyAlignment="1">
      <alignment horizontal="left"/>
    </xf>
    <xf numFmtId="0" fontId="3" fillId="5" borderId="13" xfId="0" applyFont="1" applyFill="1" applyBorder="1" applyAlignment="1">
      <alignment horizontal="left" vertical="center" wrapText="1"/>
    </xf>
    <xf numFmtId="0" fontId="0" fillId="5" borderId="15" xfId="0" applyFill="1" applyBorder="1" applyAlignment="1">
      <alignment horizontal="left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43" fontId="0" fillId="0" borderId="12" xfId="1" applyNumberFormat="1" applyFont="1" applyBorder="1" applyAlignment="1">
      <alignment horizontal="center" vertical="center" wrapText="1"/>
    </xf>
    <xf numFmtId="170" fontId="0" fillId="5" borderId="20" xfId="1" applyNumberFormat="1" applyFont="1" applyFill="1" applyBorder="1" applyAlignment="1">
      <alignment horizontal="center" vertical="center" wrapText="1"/>
    </xf>
    <xf numFmtId="170" fontId="0" fillId="5" borderId="12" xfId="1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9"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5" tint="0.39994506668294322"/>
        </patternFill>
      </fill>
    </dxf>
    <dxf>
      <fill>
        <patternFill>
          <bgColor theme="1"/>
        </patternFill>
      </fill>
    </dxf>
    <dxf>
      <fill>
        <patternFill>
          <bgColor theme="1" tint="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208883</xdr:colOff>
      <xdr:row>29</xdr:row>
      <xdr:rowOff>61753</xdr:rowOff>
    </xdr:from>
    <xdr:ext cx="1797415" cy="2533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E970FD3A-A373-4352-A0D2-D701E355BB19}"/>
                </a:ext>
              </a:extLst>
            </xdr:cNvPr>
            <xdr:cNvSpPr txBox="1"/>
          </xdr:nvSpPr>
          <xdr:spPr>
            <a:xfrm>
              <a:off x="6396323" y="3185953"/>
              <a:ext cx="1797415" cy="253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CO" sz="1100" b="0" i="1">
                      <a:latin typeface="Cambria Math" panose="02040503050406030204" pitchFamily="18" charset="0"/>
                    </a:rPr>
                    <m:t>𝐿𝑐</m:t>
                  </m:r>
                  <m:r>
                    <a:rPr lang="es-CO" sz="1100" b="0" i="1"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CO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CO" sz="1100" b="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s-CO" sz="1100" b="0" i="1">
                              <a:latin typeface="Cambria Math" panose="02040503050406030204" pitchFamily="18" charset="0"/>
                            </a:rPr>
                            <m:t>𝐿</m:t>
                          </m:r>
                          <m:r>
                            <a:rPr lang="es-CO" sz="1100" b="0" i="1">
                              <a:latin typeface="Cambria Math" panose="02040503050406030204" pitchFamily="18" charset="0"/>
                            </a:rPr>
                            <m:t>1</m:t>
                          </m:r>
                        </m:num>
                        <m:den>
                          <m:r>
                            <a:rPr lang="es-CO" sz="1100" b="0" i="1">
                              <a:latin typeface="Cambria Math" panose="02040503050406030204" pitchFamily="18" charset="0"/>
                            </a:rPr>
                            <m:t>𝐷</m:t>
                          </m:r>
                        </m:den>
                      </m:f>
                      <m:r>
                        <a:rPr lang="es-CO" sz="1100" b="0" i="1">
                          <a:latin typeface="Cambria Math" panose="02040503050406030204" pitchFamily="18" charset="0"/>
                        </a:rPr>
                        <m:t>+1</m:t>
                      </m:r>
                    </m:e>
                  </m:d>
                </m:oMath>
              </a14:m>
              <a:r>
                <a:rPr lang="es-CO" sz="1100"/>
                <a:t>*L2+</a:t>
              </a:r>
              <a14:m>
                <m:oMath xmlns:m="http://schemas.openxmlformats.org/officeDocument/2006/math">
                  <m:d>
                    <m:dPr>
                      <m:ctrlPr>
                        <a:rPr lang="es-CO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f>
                        <m:fPr>
                          <m:ctrlPr>
                            <a:rPr lang="es-CO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es-CO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𝐿</m:t>
                          </m:r>
                          <m:r>
                            <a:rPr lang="es-CO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num>
                        <m:den>
                          <m:r>
                            <a:rPr lang="es-CO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𝐷</m:t>
                          </m:r>
                        </m:den>
                      </m:f>
                      <m:r>
                        <a:rPr lang="es-CO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+1</m:t>
                      </m:r>
                    </m:e>
                  </m:d>
                </m:oMath>
              </a14:m>
              <a:r>
                <a:rPr lang="es-CO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*L1</a:t>
              </a:r>
              <a:endParaRPr lang="es-CO" sz="11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E970FD3A-A373-4352-A0D2-D701E355BB19}"/>
                </a:ext>
              </a:extLst>
            </xdr:cNvPr>
            <xdr:cNvSpPr txBox="1"/>
          </xdr:nvSpPr>
          <xdr:spPr>
            <a:xfrm>
              <a:off x="6396323" y="3185953"/>
              <a:ext cx="1797415" cy="253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100" b="0" i="0">
                  <a:latin typeface="Cambria Math" panose="02040503050406030204" pitchFamily="18" charset="0"/>
                </a:rPr>
                <a:t>𝐿𝑐=(𝐿1/𝐷+1)</a:t>
              </a:r>
              <a:r>
                <a:rPr lang="es-CO" sz="1100"/>
                <a:t>*L2+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(𝐿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/𝐷+1)</a:t>
              </a:r>
              <a:r>
                <a:rPr lang="es-CO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*L1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4</xdr:col>
      <xdr:colOff>144780</xdr:colOff>
      <xdr:row>30</xdr:row>
      <xdr:rowOff>114300</xdr:rowOff>
    </xdr:from>
    <xdr:ext cx="105573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8289AD37-E3AE-44F1-9DBF-6A035DBBE4D4}"/>
                </a:ext>
              </a:extLst>
            </xdr:cNvPr>
            <xdr:cNvSpPr txBox="1"/>
          </xdr:nvSpPr>
          <xdr:spPr>
            <a:xfrm>
              <a:off x="6332220" y="3619500"/>
              <a:ext cx="105573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latin typeface="Cambria Math" panose="02040503050406030204" pitchFamily="18" charset="0"/>
                      </a:rPr>
                      <m:t>𝐿𝑡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𝐿𝑐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𝑁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𝐿𝑣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8289AD37-E3AE-44F1-9DBF-6A035DBBE4D4}"/>
                </a:ext>
              </a:extLst>
            </xdr:cNvPr>
            <xdr:cNvSpPr txBox="1"/>
          </xdr:nvSpPr>
          <xdr:spPr>
            <a:xfrm>
              <a:off x="6332220" y="3619500"/>
              <a:ext cx="105573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100" b="0" i="0">
                  <a:latin typeface="Cambria Math" panose="02040503050406030204" pitchFamily="18" charset="0"/>
                </a:rPr>
                <a:t>𝐿𝑡=𝐿𝑐+𝑁∗𝐿𝑣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4</xdr:col>
      <xdr:colOff>121920</xdr:colOff>
      <xdr:row>31</xdr:row>
      <xdr:rowOff>7620</xdr:rowOff>
    </xdr:from>
    <xdr:ext cx="78681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B46A8B86-A870-476A-A7F1-569A32DD3F6A}"/>
                </a:ext>
              </a:extLst>
            </xdr:cNvPr>
            <xdr:cNvSpPr txBox="1"/>
          </xdr:nvSpPr>
          <xdr:spPr>
            <a:xfrm>
              <a:off x="6309360" y="3909060"/>
              <a:ext cx="78681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latin typeface="Cambria Math" panose="02040503050406030204" pitchFamily="18" charset="0"/>
                      </a:rPr>
                      <m:t>𝐿𝑡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𝐿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1∗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𝐿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2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B46A8B86-A870-476A-A7F1-569A32DD3F6A}"/>
                </a:ext>
              </a:extLst>
            </xdr:cNvPr>
            <xdr:cNvSpPr txBox="1"/>
          </xdr:nvSpPr>
          <xdr:spPr>
            <a:xfrm>
              <a:off x="6309360" y="3909060"/>
              <a:ext cx="78681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100" b="0" i="0">
                  <a:latin typeface="Cambria Math" panose="02040503050406030204" pitchFamily="18" charset="0"/>
                </a:rPr>
                <a:t>𝐿𝑡=𝐿1∗𝐿2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4</xdr:col>
      <xdr:colOff>68580</xdr:colOff>
      <xdr:row>32</xdr:row>
      <xdr:rowOff>72390</xdr:rowOff>
    </xdr:from>
    <xdr:ext cx="2558777" cy="5404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953AA037-19A6-4F41-A1C5-795166703C37}"/>
                </a:ext>
              </a:extLst>
            </xdr:cNvPr>
            <xdr:cNvSpPr txBox="1"/>
          </xdr:nvSpPr>
          <xdr:spPr>
            <a:xfrm>
              <a:off x="6256020" y="4164330"/>
              <a:ext cx="2558777" cy="5404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latin typeface="Cambria Math" panose="02040503050406030204" pitchFamily="18" charset="0"/>
                      </a:rPr>
                      <m:t>𝑅𝑔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CO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𝜌</m:t>
                    </m:r>
                    <m:d>
                      <m:dPr>
                        <m:begChr m:val="⌈"/>
                        <m:endChr m:val="⌉"/>
                        <m:ctrlPr>
                          <a:rPr lang="es-CO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CO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CO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lang="es-CO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𝐿𝑡</m:t>
                            </m:r>
                          </m:den>
                        </m:f>
                        <m:r>
                          <a:rPr lang="es-CO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</m:t>
                        </m:r>
                        <m:f>
                          <m:fPr>
                            <m:ctrlPr>
                              <a:rPr lang="es-CO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CO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lang="es-CO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20∗</m:t>
                            </m:r>
                            <m:r>
                              <a:rPr lang="es-CO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𝐴</m:t>
                            </m:r>
                          </m:den>
                        </m:f>
                        <m:r>
                          <a:rPr lang="es-CO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d>
                          <m:dPr>
                            <m:begChr m:val="{"/>
                            <m:endChr m:val="}"/>
                            <m:ctrlPr>
                              <a:rPr lang="es-CO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s-CO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1+</m:t>
                            </m:r>
                            <m:f>
                              <m:f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h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∗</m:t>
                                </m:r>
                                <m:rad>
                                  <m:radPr>
                                    <m:degHide m:val="on"/>
                                    <m:ctrlPr>
                                      <a:rPr lang="es-CO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radPr>
                                  <m:deg/>
                                  <m:e>
                                    <m:f>
                                      <m:fPr>
                                        <m:ctrlPr>
                                          <a:rPr lang="es-CO" sz="11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a:rPr lang="es-CO" sz="11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20</m:t>
                                        </m:r>
                                      </m:num>
                                      <m:den>
                                        <m:r>
                                          <a:rPr lang="es-CO" sz="11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𝐴</m:t>
                                        </m:r>
                                      </m:den>
                                    </m:f>
                                  </m:e>
                                </m:rad>
                              </m:den>
                            </m:f>
                          </m:e>
                        </m:d>
                      </m:e>
                    </m:d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953AA037-19A6-4F41-A1C5-795166703C37}"/>
                </a:ext>
              </a:extLst>
            </xdr:cNvPr>
            <xdr:cNvSpPr txBox="1"/>
          </xdr:nvSpPr>
          <xdr:spPr>
            <a:xfrm>
              <a:off x="6256020" y="4164330"/>
              <a:ext cx="2558777" cy="5404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100" b="0" i="0">
                  <a:latin typeface="Cambria Math" panose="02040503050406030204" pitchFamily="18" charset="0"/>
                </a:rPr>
                <a:t>𝑅𝑔=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𝜌⌈1/𝐿𝑡+1/(20∗𝐴)∗{1+1/(1+ℎ∗√(20/𝐴))}⌉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4</xdr:col>
      <xdr:colOff>53340</xdr:colOff>
      <xdr:row>33</xdr:row>
      <xdr:rowOff>38100</xdr:rowOff>
    </xdr:from>
    <xdr:ext cx="161678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20F4D82F-EE20-45D8-BF71-EA2AB72099AE}"/>
                </a:ext>
              </a:extLst>
            </xdr:cNvPr>
            <xdr:cNvSpPr txBox="1"/>
          </xdr:nvSpPr>
          <xdr:spPr>
            <a:xfrm>
              <a:off x="6240780" y="4914900"/>
              <a:ext cx="16167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latin typeface="Cambria Math" panose="02040503050406030204" pitchFamily="18" charset="0"/>
                      </a:rPr>
                      <m:t>𝐺𝑝𝑟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𝑅𝑔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𝐼𝑒𝑀𝑎𝑔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∗1000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20F4D82F-EE20-45D8-BF71-EA2AB72099AE}"/>
                </a:ext>
              </a:extLst>
            </xdr:cNvPr>
            <xdr:cNvSpPr txBox="1"/>
          </xdr:nvSpPr>
          <xdr:spPr>
            <a:xfrm>
              <a:off x="6240780" y="4914900"/>
              <a:ext cx="16167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100" b="0" i="0">
                  <a:latin typeface="Cambria Math" panose="02040503050406030204" pitchFamily="18" charset="0"/>
                </a:rPr>
                <a:t>𝐺𝑝𝑟=𝑅𝑔∗𝐼𝑒𝑀𝑎𝑔∗1000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4</xdr:col>
      <xdr:colOff>64770</xdr:colOff>
      <xdr:row>36</xdr:row>
      <xdr:rowOff>26670</xdr:rowOff>
    </xdr:from>
    <xdr:ext cx="117141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8E073E72-D4A7-4093-90ED-F088DCCB8BED}"/>
                </a:ext>
              </a:extLst>
            </xdr:cNvPr>
            <xdr:cNvSpPr txBox="1"/>
          </xdr:nvSpPr>
          <xdr:spPr>
            <a:xfrm>
              <a:off x="5543550" y="5284470"/>
              <a:ext cx="117141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latin typeface="Cambria Math" panose="02040503050406030204" pitchFamily="18" charset="0"/>
                      </a:rPr>
                      <m:t>𝐿𝑝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𝐿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1+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𝐿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2</m:t>
                        </m:r>
                      </m:e>
                    </m:d>
                    <m:r>
                      <a:rPr lang="es-CO" sz="1100" b="0" i="1">
                        <a:latin typeface="Cambria Math" panose="02040503050406030204" pitchFamily="18" charset="0"/>
                      </a:rPr>
                      <m:t>∗2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8E073E72-D4A7-4093-90ED-F088DCCB8BED}"/>
                </a:ext>
              </a:extLst>
            </xdr:cNvPr>
            <xdr:cNvSpPr txBox="1"/>
          </xdr:nvSpPr>
          <xdr:spPr>
            <a:xfrm>
              <a:off x="5543550" y="5284470"/>
              <a:ext cx="117141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100" b="0" i="0">
                  <a:latin typeface="Cambria Math" panose="02040503050406030204" pitchFamily="18" charset="0"/>
                </a:rPr>
                <a:t>𝐿𝑝=(𝐿1+𝐿2)∗2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4</xdr:col>
      <xdr:colOff>95250</xdr:colOff>
      <xdr:row>37</xdr:row>
      <xdr:rowOff>49530</xdr:rowOff>
    </xdr:from>
    <xdr:ext cx="731932" cy="3465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A213D37E-7F7E-4E55-8B24-AB3A382C2E2D}"/>
                </a:ext>
              </a:extLst>
            </xdr:cNvPr>
            <xdr:cNvSpPr txBox="1"/>
          </xdr:nvSpPr>
          <xdr:spPr>
            <a:xfrm>
              <a:off x="5574030" y="5497830"/>
              <a:ext cx="731932" cy="3465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latin typeface="Cambria Math" panose="02040503050406030204" pitchFamily="18" charset="0"/>
                      </a:rPr>
                      <m:t>𝑛𝑎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2∗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𝐿𝑐</m:t>
                        </m:r>
                      </m:num>
                      <m:den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𝐿𝑝</m:t>
                        </m:r>
                      </m:den>
                    </m:f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A213D37E-7F7E-4E55-8B24-AB3A382C2E2D}"/>
                </a:ext>
              </a:extLst>
            </xdr:cNvPr>
            <xdr:cNvSpPr txBox="1"/>
          </xdr:nvSpPr>
          <xdr:spPr>
            <a:xfrm>
              <a:off x="5574030" y="5497830"/>
              <a:ext cx="731932" cy="3465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100" b="0" i="0">
                  <a:latin typeface="Cambria Math" panose="02040503050406030204" pitchFamily="18" charset="0"/>
                </a:rPr>
                <a:t>𝑛𝑎=(2∗𝐿𝑐)/𝐿𝑝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4</xdr:col>
      <xdr:colOff>87630</xdr:colOff>
      <xdr:row>37</xdr:row>
      <xdr:rowOff>445770</xdr:rowOff>
    </xdr:from>
    <xdr:ext cx="875753" cy="500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E0E809BE-5790-4E59-9BE4-FCD5FD7D1CE6}"/>
                </a:ext>
              </a:extLst>
            </xdr:cNvPr>
            <xdr:cNvSpPr txBox="1"/>
          </xdr:nvSpPr>
          <xdr:spPr>
            <a:xfrm>
              <a:off x="5566410" y="5894070"/>
              <a:ext cx="875753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latin typeface="Cambria Math" panose="02040503050406030204" pitchFamily="18" charset="0"/>
                      </a:rPr>
                      <m:t>𝑛𝑏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𝐿𝑝</m:t>
                            </m:r>
                          </m:num>
                          <m:den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4∗</m:t>
                            </m:r>
                            <m:rad>
                              <m:radPr>
                                <m:degHide m:val="on"/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radPr>
                              <m:deg/>
                              <m:e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𝐴</m:t>
                                </m:r>
                              </m:e>
                            </m:rad>
                          </m:den>
                        </m:f>
                      </m:e>
                    </m:rad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E0E809BE-5790-4E59-9BE4-FCD5FD7D1CE6}"/>
                </a:ext>
              </a:extLst>
            </xdr:cNvPr>
            <xdr:cNvSpPr txBox="1"/>
          </xdr:nvSpPr>
          <xdr:spPr>
            <a:xfrm>
              <a:off x="5566410" y="5894070"/>
              <a:ext cx="875753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100" b="0" i="0">
                  <a:latin typeface="Cambria Math" panose="02040503050406030204" pitchFamily="18" charset="0"/>
                </a:rPr>
                <a:t>𝑛𝑏=√(𝐿𝑝/(4∗√𝐴))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4</xdr:col>
      <xdr:colOff>67913</xdr:colOff>
      <xdr:row>39</xdr:row>
      <xdr:rowOff>8413</xdr:rowOff>
    </xdr:from>
    <xdr:ext cx="1252138" cy="4748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E13F642C-C8C3-428E-BFF0-EF4035AF304B}"/>
                </a:ext>
              </a:extLst>
            </xdr:cNvPr>
            <xdr:cNvSpPr txBox="1"/>
          </xdr:nvSpPr>
          <xdr:spPr>
            <a:xfrm>
              <a:off x="5546693" y="6409213"/>
              <a:ext cx="1252138" cy="4748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latin typeface="Cambria Math" panose="02040503050406030204" pitchFamily="18" charset="0"/>
                      </a:rPr>
                      <m:t>𝑛𝑐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s-CO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𝐿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1∗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𝐿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num>
                              <m:den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𝐴</m:t>
                                </m:r>
                              </m:den>
                            </m:f>
                          </m:e>
                        </m:d>
                      </m:e>
                      <m:sup>
                        <m:f>
                          <m:f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0.7∗</m:t>
                            </m:r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num>
                          <m:den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1∗</m:t>
                            </m:r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sup>
                    </m:sSup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E13F642C-C8C3-428E-BFF0-EF4035AF304B}"/>
                </a:ext>
              </a:extLst>
            </xdr:cNvPr>
            <xdr:cNvSpPr txBox="1"/>
          </xdr:nvSpPr>
          <xdr:spPr>
            <a:xfrm>
              <a:off x="5546693" y="6409213"/>
              <a:ext cx="1252138" cy="4748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100" b="0" i="0">
                  <a:latin typeface="Cambria Math" panose="02040503050406030204" pitchFamily="18" charset="0"/>
                </a:rPr>
                <a:t>𝑛𝑐=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((𝐿1∗𝐿2)/𝐴)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^((</a:t>
              </a:r>
              <a:r>
                <a:rPr lang="es-CO" sz="1100" b="0" i="0">
                  <a:latin typeface="Cambria Math" panose="02040503050406030204" pitchFamily="18" charset="0"/>
                </a:rPr>
                <a:t>0.7∗𝐴)/(𝐿1∗𝐿2))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4</xdr:col>
      <xdr:colOff>67913</xdr:colOff>
      <xdr:row>40</xdr:row>
      <xdr:rowOff>793</xdr:rowOff>
    </xdr:from>
    <xdr:ext cx="111774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B7DC7E47-842C-437A-8E04-DFA14484792B}"/>
                </a:ext>
              </a:extLst>
            </xdr:cNvPr>
            <xdr:cNvSpPr txBox="1"/>
          </xdr:nvSpPr>
          <xdr:spPr>
            <a:xfrm>
              <a:off x="5546693" y="6866413"/>
              <a:ext cx="111774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latin typeface="Cambria Math" panose="02040503050406030204" pitchFamily="18" charset="0"/>
                      </a:rPr>
                      <m:t>𝑛𝑑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𝑛𝑎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𝑛𝑏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𝑛𝑐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B7DC7E47-842C-437A-8E04-DFA14484792B}"/>
                </a:ext>
              </a:extLst>
            </xdr:cNvPr>
            <xdr:cNvSpPr txBox="1"/>
          </xdr:nvSpPr>
          <xdr:spPr>
            <a:xfrm>
              <a:off x="5546693" y="6866413"/>
              <a:ext cx="111774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100" b="0" i="0">
                  <a:latin typeface="Cambria Math" panose="02040503050406030204" pitchFamily="18" charset="0"/>
                </a:rPr>
                <a:t>𝑛𝑑=𝑛𝑎∗𝑛𝑏∗𝑛𝑐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4</xdr:col>
      <xdr:colOff>50886</xdr:colOff>
      <xdr:row>41</xdr:row>
      <xdr:rowOff>50337</xdr:rowOff>
    </xdr:from>
    <xdr:ext cx="814325" cy="19915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CuadroTexto 16">
              <a:extLst>
                <a:ext uri="{FF2B5EF4-FFF2-40B4-BE49-F238E27FC236}">
                  <a16:creationId xmlns:a16="http://schemas.microsoft.com/office/drawing/2014/main" id="{97C689E0-2C44-41EA-A02C-E36D039C8C8D}"/>
                </a:ext>
              </a:extLst>
            </xdr:cNvPr>
            <xdr:cNvSpPr txBox="1"/>
          </xdr:nvSpPr>
          <xdr:spPr>
            <a:xfrm>
              <a:off x="6118664" y="13305374"/>
              <a:ext cx="814325" cy="1991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latin typeface="Cambria Math" panose="02040503050406030204" pitchFamily="18" charset="0"/>
                      </a:rPr>
                      <m:t>𝐾h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1+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h</m:t>
                        </m:r>
                      </m:e>
                    </m:rad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17" name="CuadroTexto 16">
              <a:extLst>
                <a:ext uri="{FF2B5EF4-FFF2-40B4-BE49-F238E27FC236}">
                  <a16:creationId xmlns:a16="http://schemas.microsoft.com/office/drawing/2014/main" id="{97C689E0-2C44-41EA-A02C-E36D039C8C8D}"/>
                </a:ext>
              </a:extLst>
            </xdr:cNvPr>
            <xdr:cNvSpPr txBox="1"/>
          </xdr:nvSpPr>
          <xdr:spPr>
            <a:xfrm>
              <a:off x="6118664" y="13305374"/>
              <a:ext cx="814325" cy="1991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𝐾ℎ=√(1+ℎ)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4</xdr:col>
      <xdr:colOff>47743</xdr:colOff>
      <xdr:row>42</xdr:row>
      <xdr:rowOff>58250</xdr:rowOff>
    </xdr:from>
    <xdr:ext cx="151201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CuadroTexto 17">
              <a:extLst>
                <a:ext uri="{FF2B5EF4-FFF2-40B4-BE49-F238E27FC236}">
                  <a16:creationId xmlns:a16="http://schemas.microsoft.com/office/drawing/2014/main" id="{A38D671B-C659-4371-AD36-1A5A7492BD25}"/>
                </a:ext>
              </a:extLst>
            </xdr:cNvPr>
            <xdr:cNvSpPr txBox="1"/>
          </xdr:nvSpPr>
          <xdr:spPr>
            <a:xfrm>
              <a:off x="6115521" y="13755435"/>
              <a:ext cx="151201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latin typeface="Cambria Math" panose="02040503050406030204" pitchFamily="18" charset="0"/>
                      </a:rPr>
                      <m:t>𝐾𝑖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=0.644+0.148∗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𝑛𝑑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18" name="CuadroTexto 17">
              <a:extLst>
                <a:ext uri="{FF2B5EF4-FFF2-40B4-BE49-F238E27FC236}">
                  <a16:creationId xmlns:a16="http://schemas.microsoft.com/office/drawing/2014/main" id="{A38D671B-C659-4371-AD36-1A5A7492BD25}"/>
                </a:ext>
              </a:extLst>
            </xdr:cNvPr>
            <xdr:cNvSpPr txBox="1"/>
          </xdr:nvSpPr>
          <xdr:spPr>
            <a:xfrm>
              <a:off x="6115521" y="13755435"/>
              <a:ext cx="151201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𝐾𝑖=0.644+0.148∗𝑛𝑑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4</xdr:col>
      <xdr:colOff>37433</xdr:colOff>
      <xdr:row>43</xdr:row>
      <xdr:rowOff>23653</xdr:rowOff>
    </xdr:from>
    <xdr:ext cx="1042913" cy="4241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CuadroTexto 18">
              <a:extLst>
                <a:ext uri="{FF2B5EF4-FFF2-40B4-BE49-F238E27FC236}">
                  <a16:creationId xmlns:a16="http://schemas.microsoft.com/office/drawing/2014/main" id="{A32D1543-FCA6-40CD-A50D-38EB4F5B70F7}"/>
                </a:ext>
              </a:extLst>
            </xdr:cNvPr>
            <xdr:cNvSpPr txBox="1"/>
          </xdr:nvSpPr>
          <xdr:spPr>
            <a:xfrm>
              <a:off x="5353574" y="7852012"/>
              <a:ext cx="1042913" cy="4241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latin typeface="Cambria Math" panose="02040503050406030204" pitchFamily="18" charset="0"/>
                      </a:rPr>
                      <m:t>𝐾𝑖𝑖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sSup>
                          <m:sSup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2∗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𝑛𝑑</m:t>
                                </m:r>
                              </m:e>
                            </m:d>
                          </m:e>
                          <m:sup>
                            <m:f>
                              <m:f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num>
                              <m:den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𝑛𝑑</m:t>
                                </m:r>
                              </m:den>
                            </m:f>
                          </m:sup>
                        </m:sSup>
                      </m:den>
                    </m:f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19" name="CuadroTexto 18">
              <a:extLst>
                <a:ext uri="{FF2B5EF4-FFF2-40B4-BE49-F238E27FC236}">
                  <a16:creationId xmlns:a16="http://schemas.microsoft.com/office/drawing/2014/main" id="{A32D1543-FCA6-40CD-A50D-38EB4F5B70F7}"/>
                </a:ext>
              </a:extLst>
            </xdr:cNvPr>
            <xdr:cNvSpPr txBox="1"/>
          </xdr:nvSpPr>
          <xdr:spPr>
            <a:xfrm>
              <a:off x="5353574" y="7852012"/>
              <a:ext cx="1042913" cy="4241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𝐾𝑖𝑖=1/(2∗𝑛𝑑)^(2/𝑛𝑑) 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3</xdr:col>
      <xdr:colOff>231286</xdr:colOff>
      <xdr:row>44</xdr:row>
      <xdr:rowOff>105833</xdr:rowOff>
    </xdr:from>
    <xdr:ext cx="5146972" cy="31925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780993BA-97B7-4CCC-8BB8-E2639E62B4D3}"/>
                </a:ext>
              </a:extLst>
            </xdr:cNvPr>
            <xdr:cNvSpPr txBox="1"/>
          </xdr:nvSpPr>
          <xdr:spPr>
            <a:xfrm>
              <a:off x="5138104" y="14605000"/>
              <a:ext cx="5146972" cy="3192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800" b="0" i="1">
                        <a:latin typeface="Cambria Math" panose="02040503050406030204" pitchFamily="18" charset="0"/>
                      </a:rPr>
                      <m:t>𝐾𝑚</m:t>
                    </m:r>
                    <m:r>
                      <a:rPr lang="es-CO" sz="8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CO" sz="8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8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s-CO" sz="8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s-CO" sz="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lang="es-CO" sz="800" b="0" i="1">
                        <a:latin typeface="Cambria Math" panose="02040503050406030204" pitchFamily="18" charset="0"/>
                      </a:rPr>
                      <m:t>∗</m:t>
                    </m:r>
                    <m:d>
                      <m:dPr>
                        <m:begChr m:val="["/>
                        <m:endChr m:val="]"/>
                        <m:ctrlPr>
                          <a:rPr lang="es-CO" sz="8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CO" sz="8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𝑙𝑛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s-CO" sz="8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s-CO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sSup>
                                  <m:sSupPr>
                                    <m:ctrlPr>
                                      <a:rPr lang="es-CO" sz="8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lang="es-CO" sz="8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e>
                                  <m:sup>
                                    <m:r>
                                      <a:rPr lang="es-CO" sz="8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</m:num>
                              <m:den>
                                <m:r>
                                  <a:rPr lang="es-CO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16∗</m:t>
                                </m:r>
                                <m:r>
                                  <a:rPr lang="es-CO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h</m:t>
                                </m:r>
                                <m:r>
                                  <a:rPr lang="es-CO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∗</m:t>
                                </m:r>
                                <m:r>
                                  <a:rPr lang="es-CO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𝑑𝑐</m:t>
                                </m:r>
                              </m:den>
                            </m:f>
                            <m:r>
                              <a:rPr lang="es-CO" sz="8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+</m:t>
                            </m:r>
                            <m:f>
                              <m:fPr>
                                <m:ctrlPr>
                                  <a:rPr lang="es-CO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sSup>
                                  <m:sSupPr>
                                    <m:ctrlPr>
                                      <a:rPr lang="es-CO" sz="8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es-CO" sz="8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es-CO" sz="8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𝐷</m:t>
                                        </m:r>
                                        <m:r>
                                          <a:rPr lang="es-CO" sz="8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+2∗</m:t>
                                        </m:r>
                                        <m:r>
                                          <a:rPr lang="es-CO" sz="8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h</m:t>
                                        </m:r>
                                      </m:e>
                                    </m:d>
                                  </m:e>
                                  <m:sup>
                                    <m:r>
                                      <a:rPr lang="es-CO" sz="8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</m:num>
                              <m:den>
                                <m:r>
                                  <a:rPr lang="es-CO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8∗</m:t>
                                </m:r>
                                <m:r>
                                  <a:rPr lang="es-CO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𝐷</m:t>
                                </m:r>
                                <m:r>
                                  <a:rPr lang="es-CO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∗</m:t>
                                </m:r>
                                <m:r>
                                  <a:rPr lang="es-CO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𝑑𝑐</m:t>
                                </m:r>
                              </m:den>
                            </m:f>
                            <m:r>
                              <a:rPr lang="es-CO" sz="8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−</m:t>
                            </m:r>
                            <m:f>
                              <m:fPr>
                                <m:ctrlPr>
                                  <a:rPr lang="es-CO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s-CO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h</m:t>
                                </m:r>
                              </m:num>
                              <m:den>
                                <m:r>
                                  <a:rPr lang="es-CO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4∗</m:t>
                                </m:r>
                                <m:r>
                                  <a:rPr lang="es-CO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𝑑𝑐</m:t>
                                </m:r>
                              </m:den>
                            </m:f>
                          </m:e>
                        </m:d>
                        <m:r>
                          <a:rPr lang="es-CO" sz="800" b="0" i="1">
                            <a:latin typeface="Cambria Math" panose="02040503050406030204" pitchFamily="18" charset="0"/>
                          </a:rPr>
                          <m:t>+</m:t>
                        </m:r>
                        <m:f>
                          <m:fPr>
                            <m:ctrlPr>
                              <a:rPr lang="es-CO" sz="8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s-CO" sz="8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𝑘𝑖𝑖</m:t>
                            </m:r>
                          </m:num>
                          <m:den>
                            <m:r>
                              <a:rPr lang="es-CO" sz="8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𝑘h</m:t>
                            </m:r>
                          </m:den>
                        </m:f>
                        <m:r>
                          <a:rPr lang="es-CO" sz="8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∗</m:t>
                        </m:r>
                        <m:r>
                          <a:rPr lang="es-CO" sz="8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𝑙𝑛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s-CO" sz="8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s-CO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s-CO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8</m:t>
                                </m:r>
                              </m:num>
                              <m:den>
                                <m:r>
                                  <a:rPr lang="es-CO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𝜋</m:t>
                                </m:r>
                                <m:r>
                                  <a:rPr lang="es-CO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∗</m:t>
                                </m:r>
                                <m:d>
                                  <m:dPr>
                                    <m:ctrlPr>
                                      <a:rPr lang="es-CO" sz="8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r>
                                      <a:rPr lang="es-CO" sz="8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2∗</m:t>
                                    </m:r>
                                    <m:r>
                                      <a:rPr lang="es-CO" sz="8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𝑛𝑑</m:t>
                                    </m:r>
                                    <m:r>
                                      <a:rPr lang="es-CO" sz="8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−1</m:t>
                                    </m:r>
                                  </m:e>
                                </m:d>
                              </m:den>
                            </m:f>
                          </m:e>
                        </m:d>
                      </m:e>
                    </m:d>
                  </m:oMath>
                </m:oMathPara>
              </a14:m>
              <a:endParaRPr lang="es-CO" sz="800"/>
            </a:p>
          </xdr:txBody>
        </xdr:sp>
      </mc:Choice>
      <mc:Fallback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780993BA-97B7-4CCC-8BB8-E2639E62B4D3}"/>
                </a:ext>
              </a:extLst>
            </xdr:cNvPr>
            <xdr:cNvSpPr txBox="1"/>
          </xdr:nvSpPr>
          <xdr:spPr>
            <a:xfrm>
              <a:off x="5138104" y="14605000"/>
              <a:ext cx="5146972" cy="3192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CO" sz="800" b="0" i="0">
                  <a:latin typeface="Cambria Math" panose="02040503050406030204" pitchFamily="18" charset="0"/>
                </a:rPr>
                <a:t>𝐾𝑚=1/2</a:t>
              </a:r>
              <a:r>
                <a:rPr lang="es-CO" sz="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</a:t>
              </a:r>
              <a:r>
                <a:rPr lang="es-CO" sz="800" b="0" i="0">
                  <a:latin typeface="Cambria Math" panose="02040503050406030204" pitchFamily="18" charset="0"/>
                </a:rPr>
                <a:t>∗[</a:t>
              </a:r>
              <a:r>
                <a:rPr lang="es-CO" sz="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𝑙𝑛[𝐷^2/(16∗ℎ∗𝑑𝑐)+(𝐷+2∗ℎ)^2/(8∗𝐷∗𝑑𝑐)−ℎ/(4∗𝑑𝑐)]</a:t>
              </a:r>
              <a:r>
                <a:rPr lang="es-CO" sz="800" b="0" i="0">
                  <a:latin typeface="Cambria Math" panose="02040503050406030204" pitchFamily="18" charset="0"/>
                </a:rPr>
                <a:t>+</a:t>
              </a:r>
              <a:r>
                <a:rPr lang="es-CO" sz="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𝑘𝑖𝑖/𝑘ℎ∗𝑙𝑛[8/(𝜋∗(2∗𝑛𝑑−1) )]</a:t>
              </a:r>
              <a:r>
                <a:rPr lang="es-CO" sz="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]</a:t>
              </a:r>
              <a:endParaRPr lang="es-CO" sz="800"/>
            </a:p>
          </xdr:txBody>
        </xdr:sp>
      </mc:Fallback>
    </mc:AlternateContent>
    <xdr:clientData/>
  </xdr:oneCellAnchor>
  <xdr:oneCellAnchor>
    <xdr:from>
      <xdr:col>0</xdr:col>
      <xdr:colOff>35719</xdr:colOff>
      <xdr:row>46</xdr:row>
      <xdr:rowOff>29250</xdr:rowOff>
    </xdr:from>
    <xdr:ext cx="3338852" cy="56946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99F3F1C1-86FB-43AB-816A-1A590E7ED144}"/>
                </a:ext>
              </a:extLst>
            </xdr:cNvPr>
            <xdr:cNvSpPr txBox="1"/>
          </xdr:nvSpPr>
          <xdr:spPr>
            <a:xfrm>
              <a:off x="35719" y="8901107"/>
              <a:ext cx="3338852" cy="5694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latin typeface="Cambria Math" panose="02040503050406030204" pitchFamily="18" charset="0"/>
                      </a:rPr>
                      <m:t>𝑉𝑚𝑎𝑙𝑙𝑎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CO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𝜌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𝐼𝑒𝑀𝑎𝑔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∗1000∗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𝐾𝑚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𝐾𝑖</m:t>
                        </m:r>
                      </m:num>
                      <m:den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𝐿𝑐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+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1,55+1,22∗</m:t>
                            </m:r>
                            <m:d>
                              <m:d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s-CO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s-CO" sz="1100" b="0" i="1">
                                        <a:latin typeface="Cambria Math" panose="02040503050406030204" pitchFamily="18" charset="0"/>
                                      </a:rPr>
                                      <m:t>𝐿𝑣</m:t>
                                    </m:r>
                                  </m:num>
                                  <m:den>
                                    <m:rad>
                                      <m:radPr>
                                        <m:degHide m:val="on"/>
                                        <m:ctrlPr>
                                          <a:rPr lang="es-CO" sz="1100" b="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radPr>
                                      <m:deg/>
                                      <m:e>
                                        <m:sSup>
                                          <m:sSupPr>
                                            <m:ctrlPr>
                                              <a:rPr lang="es-CO" sz="1100" b="0" i="1">
                                                <a:latin typeface="Cambria Math" panose="02040503050406030204" pitchFamily="18" charset="0"/>
                                              </a:rPr>
                                            </m:ctrlPr>
                                          </m:sSupPr>
                                          <m:e>
                                            <m:r>
                                              <a:rPr lang="es-CO" sz="1100" b="0" i="1">
                                                <a:latin typeface="Cambria Math" panose="02040503050406030204" pitchFamily="18" charset="0"/>
                                              </a:rPr>
                                              <m:t>𝐿</m:t>
                                            </m:r>
                                            <m:r>
                                              <a:rPr lang="es-CO" sz="1100" b="0" i="1">
                                                <a:latin typeface="Cambria Math" panose="02040503050406030204" pitchFamily="18" charset="0"/>
                                              </a:rPr>
                                              <m:t>1</m:t>
                                            </m:r>
                                          </m:e>
                                          <m:sup>
                                            <m:r>
                                              <a:rPr lang="es-CO" sz="1100" b="0" i="1">
                                                <a:latin typeface="Cambria Math" panose="02040503050406030204" pitchFamily="18" charset="0"/>
                                              </a:rPr>
                                              <m:t>2</m:t>
                                            </m:r>
                                          </m:sup>
                                        </m:sSup>
                                        <m:r>
                                          <a:rPr lang="es-CO" sz="1100" b="0" i="1">
                                            <a:latin typeface="Cambria Math" panose="02040503050406030204" pitchFamily="18" charset="0"/>
                                          </a:rPr>
                                          <m:t>+</m:t>
                                        </m:r>
                                        <m:sSup>
                                          <m:sSupPr>
                                            <m:ctrlPr>
                                              <a:rPr lang="es-CO" sz="1100" b="0" i="1">
                                                <a:latin typeface="Cambria Math" panose="02040503050406030204" pitchFamily="18" charset="0"/>
                                              </a:rPr>
                                            </m:ctrlPr>
                                          </m:sSupPr>
                                          <m:e>
                                            <m:r>
                                              <a:rPr lang="es-CO" sz="1100" b="0" i="1">
                                                <a:latin typeface="Cambria Math" panose="02040503050406030204" pitchFamily="18" charset="0"/>
                                              </a:rPr>
                                              <m:t>𝐿</m:t>
                                            </m:r>
                                            <m:r>
                                              <a:rPr lang="es-CO" sz="1100" b="0" i="1">
                                                <a:latin typeface="Cambria Math" panose="02040503050406030204" pitchFamily="18" charset="0"/>
                                              </a:rPr>
                                              <m:t>2</m:t>
                                            </m:r>
                                          </m:e>
                                          <m:sup>
                                            <m:r>
                                              <a:rPr lang="es-CO" sz="1100" b="0" i="1">
                                                <a:latin typeface="Cambria Math" panose="02040503050406030204" pitchFamily="18" charset="0"/>
                                              </a:rPr>
                                              <m:t>2</m:t>
                                            </m:r>
                                          </m:sup>
                                        </m:sSup>
                                      </m:e>
                                    </m:rad>
                                  </m:den>
                                </m:f>
                              </m:e>
                            </m:d>
                          </m:e>
                        </m:d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𝐿𝑣</m:t>
                        </m:r>
                      </m:den>
                    </m:f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99F3F1C1-86FB-43AB-816A-1A590E7ED144}"/>
                </a:ext>
              </a:extLst>
            </xdr:cNvPr>
            <xdr:cNvSpPr txBox="1"/>
          </xdr:nvSpPr>
          <xdr:spPr>
            <a:xfrm>
              <a:off x="35719" y="8901107"/>
              <a:ext cx="3338852" cy="5694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𝑉𝑚𝑎𝑙𝑙𝑎</a:t>
              </a:r>
              <a:r>
                <a:rPr lang="es-CO" sz="1100" i="0">
                  <a:latin typeface="Cambria Math" panose="02040503050406030204" pitchFamily="18" charset="0"/>
                </a:rPr>
                <a:t>=(</a:t>
              </a:r>
              <a:r>
                <a:rPr lang="es-CO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𝜌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∗𝐼𝑒𝑀𝑎𝑔∗1000∗𝐾𝑚∗𝐾𝑖)/(</a:t>
              </a:r>
              <a:r>
                <a:rPr lang="es-CO" sz="1100" b="0" i="0">
                  <a:latin typeface="Cambria Math" panose="02040503050406030204" pitchFamily="18" charset="0"/>
                </a:rPr>
                <a:t>𝐿𝑐+[1,55+1,22∗(𝐿𝑣/√(〖𝐿1〗^2+〖𝐿2〗^2 ))]∗𝑁∗𝐿𝑣)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4</xdr:col>
      <xdr:colOff>53578</xdr:colOff>
      <xdr:row>48</xdr:row>
      <xdr:rowOff>77389</xdr:rowOff>
    </xdr:from>
    <xdr:ext cx="3025524" cy="3767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95288066-C5E1-4A85-B397-B6BA7E0A214D}"/>
                </a:ext>
              </a:extLst>
            </xdr:cNvPr>
            <xdr:cNvSpPr txBox="1"/>
          </xdr:nvSpPr>
          <xdr:spPr>
            <a:xfrm>
              <a:off x="5978517" y="17603389"/>
              <a:ext cx="3025524" cy="3767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latin typeface="Cambria Math" panose="02040503050406030204" pitchFamily="18" charset="0"/>
                      </a:rPr>
                      <m:t>𝐾𝑠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s-CO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lang="es-CO" sz="1100" b="0" i="1">
                        <a:latin typeface="Cambria Math" panose="02040503050406030204" pitchFamily="18" charset="0"/>
                      </a:rPr>
                      <m:t>∗</m:t>
                    </m:r>
                    <m:d>
                      <m:dPr>
                        <m:begChr m:val="["/>
                        <m:endChr m:val="]"/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2∗</m:t>
                            </m:r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h</m:t>
                            </m:r>
                          </m:den>
                        </m:f>
                        <m:r>
                          <m:rPr>
                            <m:nor/>
                          </m:rPr>
                          <a:rPr lang="es-CO" sz="110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es-CO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s-CO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num>
                          <m:den>
                            <m:r>
                              <a:rPr lang="es-CO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</m:t>
                            </m:r>
                            <m:r>
                              <a:rPr lang="es-CO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lang="es-CO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h</m:t>
                            </m:r>
                          </m:den>
                        </m:f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es-CO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s-CO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num>
                          <m:den>
                            <m:r>
                              <a:rPr lang="es-CO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</m:t>
                            </m:r>
                          </m:den>
                        </m:f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</m:t>
                        </m:r>
                        <m:d>
                          <m:dPr>
                            <m:ctrlPr>
                              <a:rPr lang="es-CO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s-CO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1−</m:t>
                            </m:r>
                            <m:sSup>
                              <m:sSupPr>
                                <m:ctrlP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0,5</m:t>
                                </m:r>
                              </m:e>
                              <m:sup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𝑛𝑑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−2</m:t>
                                </m:r>
                              </m:sup>
                            </m:sSup>
                          </m:e>
                        </m:d>
                      </m:e>
                    </m:d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95288066-C5E1-4A85-B397-B6BA7E0A214D}"/>
                </a:ext>
              </a:extLst>
            </xdr:cNvPr>
            <xdr:cNvSpPr txBox="1"/>
          </xdr:nvSpPr>
          <xdr:spPr>
            <a:xfrm>
              <a:off x="5978517" y="17603389"/>
              <a:ext cx="3025524" cy="3767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𝐾𝑠=1/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</a:t>
              </a:r>
              <a:r>
                <a:rPr lang="es-CO" sz="1100" b="0" i="0">
                  <a:latin typeface="Cambria Math" panose="02040503050406030204" pitchFamily="18" charset="0"/>
                </a:rPr>
                <a:t>∗[1/(2∗ℎ)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</a:t>
              </a:r>
              <a:r>
                <a:rPr lang="es-CO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 1/(𝐷+ℎ)+1/𝐷∗(1−〖0,5〗^(𝑛𝑑−2) )]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0</xdr:col>
      <xdr:colOff>23812</xdr:colOff>
      <xdr:row>50</xdr:row>
      <xdr:rowOff>65485</xdr:rowOff>
    </xdr:from>
    <xdr:ext cx="2296718" cy="3423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CuadroTexto 20">
              <a:extLst>
                <a:ext uri="{FF2B5EF4-FFF2-40B4-BE49-F238E27FC236}">
                  <a16:creationId xmlns:a16="http://schemas.microsoft.com/office/drawing/2014/main" id="{FA3CA43D-EF28-4DCC-9F8A-1F0C0DF665A4}"/>
                </a:ext>
              </a:extLst>
            </xdr:cNvPr>
            <xdr:cNvSpPr txBox="1"/>
          </xdr:nvSpPr>
          <xdr:spPr>
            <a:xfrm>
              <a:off x="23812" y="10918032"/>
              <a:ext cx="2296718" cy="342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latin typeface="Cambria Math" panose="02040503050406030204" pitchFamily="18" charset="0"/>
                      </a:rPr>
                      <m:t>𝑉𝑝𝑎𝑠𝑜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CO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𝜌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𝐼𝑒𝑀𝑎𝑔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∗1000∗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𝐾𝑠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𝐾𝑖</m:t>
                        </m:r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0,75∗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𝐿𝑐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+0,85∗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𝐿𝑣</m:t>
                        </m:r>
                      </m:den>
                    </m:f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21" name="CuadroTexto 20">
              <a:extLst>
                <a:ext uri="{FF2B5EF4-FFF2-40B4-BE49-F238E27FC236}">
                  <a16:creationId xmlns:a16="http://schemas.microsoft.com/office/drawing/2014/main" id="{FA3CA43D-EF28-4DCC-9F8A-1F0C0DF665A4}"/>
                </a:ext>
              </a:extLst>
            </xdr:cNvPr>
            <xdr:cNvSpPr txBox="1"/>
          </xdr:nvSpPr>
          <xdr:spPr>
            <a:xfrm>
              <a:off x="23812" y="10918032"/>
              <a:ext cx="2296718" cy="342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100" b="0" i="0">
                  <a:latin typeface="Cambria Math" panose="02040503050406030204" pitchFamily="18" charset="0"/>
                </a:rPr>
                <a:t>𝑉𝑝𝑎𝑠𝑜</a:t>
              </a:r>
              <a:r>
                <a:rPr lang="es-CO" sz="1100" i="0">
                  <a:latin typeface="Cambria Math" panose="02040503050406030204" pitchFamily="18" charset="0"/>
                </a:rPr>
                <a:t>=(</a:t>
              </a:r>
              <a:r>
                <a:rPr lang="es-CO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𝜌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∗𝐼𝑒𝑀𝑎𝑔∗1000∗𝐾𝑠∗𝐾𝑖)/(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0,75∗𝐿𝑐+0,85</a:t>
              </a:r>
              <a:r>
                <a:rPr lang="es-CO" sz="1100" b="0" i="0">
                  <a:latin typeface="Cambria Math" panose="02040503050406030204" pitchFamily="18" charset="0"/>
                </a:rPr>
                <a:t>∗𝑁∗𝐿𝑣)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4</xdr:col>
      <xdr:colOff>126409</xdr:colOff>
      <xdr:row>23</xdr:row>
      <xdr:rowOff>11775</xdr:rowOff>
    </xdr:from>
    <xdr:ext cx="1525609" cy="4619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7B8A9036-6C7A-4DE3-9E3C-24BA02E5476B}"/>
                </a:ext>
              </a:extLst>
            </xdr:cNvPr>
            <xdr:cNvSpPr txBox="1"/>
          </xdr:nvSpPr>
          <xdr:spPr>
            <a:xfrm>
              <a:off x="6061044" y="3265963"/>
              <a:ext cx="1525609" cy="4619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latin typeface="Cambria Math" panose="02040503050406030204" pitchFamily="18" charset="0"/>
                      </a:rPr>
                      <m:t>𝐶𝑠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=1−</m:t>
                    </m:r>
                    <m:f>
                      <m:f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0.09∗</m:t>
                        </m:r>
                        <m:d>
                          <m:d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f>
                              <m:f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𝜌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s-CO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CO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𝜌</m:t>
                                    </m:r>
                                  </m:e>
                                  <m:sub>
                                    <m:r>
                                      <a:rPr lang="es-CO" sz="1100" b="0" i="1">
                                        <a:latin typeface="Cambria Math" panose="02040503050406030204" pitchFamily="18" charset="0"/>
                                      </a:rPr>
                                      <m:t>𝑠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num>
                      <m:den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2∗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h𝑠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+0.09</m:t>
                        </m:r>
                      </m:den>
                    </m:f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7B8A9036-6C7A-4DE3-9E3C-24BA02E5476B}"/>
                </a:ext>
              </a:extLst>
            </xdr:cNvPr>
            <xdr:cNvSpPr txBox="1"/>
          </xdr:nvSpPr>
          <xdr:spPr>
            <a:xfrm>
              <a:off x="6061044" y="3265963"/>
              <a:ext cx="1525609" cy="4619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100" b="0" i="0">
                  <a:latin typeface="Cambria Math" panose="02040503050406030204" pitchFamily="18" charset="0"/>
                </a:rPr>
                <a:t>𝐶𝑠=1−(0.09∗(1−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𝜌/𝜌_</a:t>
              </a:r>
              <a:r>
                <a:rPr lang="es-CO" sz="1100" b="0" i="0">
                  <a:latin typeface="Cambria Math" panose="02040503050406030204" pitchFamily="18" charset="0"/>
                </a:rPr>
                <a:t>𝑠 ))/(2∗ℎ𝑠+0.09)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4</xdr:col>
      <xdr:colOff>67235</xdr:colOff>
      <xdr:row>24</xdr:row>
      <xdr:rowOff>53788</xdr:rowOff>
    </xdr:from>
    <xdr:ext cx="2470740" cy="3496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6B85CA92-CFE4-47E4-A5E6-9A912AEA9344}"/>
                </a:ext>
              </a:extLst>
            </xdr:cNvPr>
            <xdr:cNvSpPr txBox="1"/>
          </xdr:nvSpPr>
          <xdr:spPr>
            <a:xfrm>
              <a:off x="5830667" y="4444974"/>
              <a:ext cx="2470740" cy="3496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𝐸𝑐𝑙</m:t>
                        </m:r>
                      </m:e>
                      <m:sub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50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𝑘𝑔</m:t>
                        </m:r>
                      </m:sub>
                    </m:sSub>
                    <m:r>
                      <a:rPr lang="es-CO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0.116</m:t>
                        </m:r>
                      </m:num>
                      <m:den>
                        <m:rad>
                          <m:radPr>
                            <m:degHide m:val="on"/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𝑡𝑠</m:t>
                            </m:r>
                          </m:e>
                        </m:rad>
                      </m:den>
                    </m:f>
                    <m:r>
                      <a:rPr lang="es-CO" sz="1100" b="0" i="1">
                        <a:latin typeface="Cambria Math" panose="02040503050406030204" pitchFamily="18" charset="0"/>
                      </a:rPr>
                      <m:t>∗</m:t>
                    </m:r>
                    <m:d>
                      <m:d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1000+1.5∗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𝐶𝑠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sSub>
                          <m:sSub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CO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𝜌</m:t>
                            </m:r>
                          </m:e>
                          <m:sub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𝑠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6B85CA92-CFE4-47E4-A5E6-9A912AEA9344}"/>
                </a:ext>
              </a:extLst>
            </xdr:cNvPr>
            <xdr:cNvSpPr txBox="1"/>
          </xdr:nvSpPr>
          <xdr:spPr>
            <a:xfrm>
              <a:off x="5830667" y="4444974"/>
              <a:ext cx="2470740" cy="3496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〖𝐸𝑐𝑙〗_50𝑘𝑔=0.116/√𝑡𝑠∗(1000+1.5∗𝐶𝑠∗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𝜌_</a:t>
              </a:r>
              <a:r>
                <a:rPr lang="es-CO" sz="1100" b="0" i="0">
                  <a:latin typeface="Cambria Math" panose="02040503050406030204" pitchFamily="18" charset="0"/>
                </a:rPr>
                <a:t>𝑠 )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4</xdr:col>
      <xdr:colOff>56505</xdr:colOff>
      <xdr:row>25</xdr:row>
      <xdr:rowOff>73032</xdr:rowOff>
    </xdr:from>
    <xdr:ext cx="2470741" cy="35311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CuadroTexto 21">
              <a:extLst>
                <a:ext uri="{FF2B5EF4-FFF2-40B4-BE49-F238E27FC236}">
                  <a16:creationId xmlns:a16="http://schemas.microsoft.com/office/drawing/2014/main" id="{8FD6AAE6-0906-4932-B07E-21F3456F6405}"/>
                </a:ext>
              </a:extLst>
            </xdr:cNvPr>
            <xdr:cNvSpPr txBox="1"/>
          </xdr:nvSpPr>
          <xdr:spPr>
            <a:xfrm>
              <a:off x="5983172" y="5886810"/>
              <a:ext cx="2470741" cy="3531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𝐸𝑐𝑙</m:t>
                        </m:r>
                      </m:e>
                      <m:sub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70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𝑘𝑔</m:t>
                        </m:r>
                      </m:sub>
                    </m:sSub>
                    <m:r>
                      <a:rPr lang="es-CO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0.157</m:t>
                        </m:r>
                      </m:num>
                      <m:den>
                        <m:rad>
                          <m:radPr>
                            <m:degHide m:val="on"/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𝑡𝑠</m:t>
                            </m:r>
                          </m:e>
                        </m:rad>
                      </m:den>
                    </m:f>
                    <m:r>
                      <a:rPr lang="es-CO" sz="1100" b="0" i="1">
                        <a:latin typeface="Cambria Math" panose="02040503050406030204" pitchFamily="18" charset="0"/>
                      </a:rPr>
                      <m:t>∗</m:t>
                    </m:r>
                    <m:d>
                      <m:d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1000+1.5∗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𝐶𝑠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sSub>
                          <m:sSub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CO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𝜌</m:t>
                            </m:r>
                          </m:e>
                          <m:sub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𝑠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22" name="CuadroTexto 21">
              <a:extLst>
                <a:ext uri="{FF2B5EF4-FFF2-40B4-BE49-F238E27FC236}">
                  <a16:creationId xmlns:a16="http://schemas.microsoft.com/office/drawing/2014/main" id="{8FD6AAE6-0906-4932-B07E-21F3456F6405}"/>
                </a:ext>
              </a:extLst>
            </xdr:cNvPr>
            <xdr:cNvSpPr txBox="1"/>
          </xdr:nvSpPr>
          <xdr:spPr>
            <a:xfrm>
              <a:off x="5983172" y="5886810"/>
              <a:ext cx="2470741" cy="3531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〖𝐸𝑐𝑙〗_70𝑘𝑔=0.157/√𝑡𝑠∗(1000+1.5∗𝐶𝑠∗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𝜌_</a:t>
              </a:r>
              <a:r>
                <a:rPr lang="es-CO" sz="1100" b="0" i="0">
                  <a:latin typeface="Cambria Math" panose="02040503050406030204" pitchFamily="18" charset="0"/>
                </a:rPr>
                <a:t>𝑠 )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4</xdr:col>
      <xdr:colOff>32288</xdr:colOff>
      <xdr:row>26</xdr:row>
      <xdr:rowOff>32288</xdr:rowOff>
    </xdr:from>
    <xdr:ext cx="2484526" cy="3496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CuadroTexto 22">
              <a:extLst>
                <a:ext uri="{FF2B5EF4-FFF2-40B4-BE49-F238E27FC236}">
                  <a16:creationId xmlns:a16="http://schemas.microsoft.com/office/drawing/2014/main" id="{98EE82BF-5377-42EE-974F-7E6FDC2B2C86}"/>
                </a:ext>
              </a:extLst>
            </xdr:cNvPr>
            <xdr:cNvSpPr txBox="1"/>
          </xdr:nvSpPr>
          <xdr:spPr>
            <a:xfrm>
              <a:off x="5795720" y="5408263"/>
              <a:ext cx="2484526" cy="3496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𝐸𝑝𝑙</m:t>
                        </m:r>
                      </m:e>
                      <m:sub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50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𝑘𝑔</m:t>
                        </m:r>
                      </m:sub>
                    </m:sSub>
                    <m:r>
                      <a:rPr lang="es-CO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0.116</m:t>
                        </m:r>
                      </m:num>
                      <m:den>
                        <m:rad>
                          <m:radPr>
                            <m:degHide m:val="on"/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𝑡𝑠</m:t>
                            </m:r>
                          </m:e>
                        </m:rad>
                      </m:den>
                    </m:f>
                    <m:r>
                      <a:rPr lang="es-CO" sz="1100" b="0" i="1">
                        <a:latin typeface="Cambria Math" panose="02040503050406030204" pitchFamily="18" charset="0"/>
                      </a:rPr>
                      <m:t>∗</m:t>
                    </m:r>
                    <m:d>
                      <m:d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1000+6,0∗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𝐶𝑠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sSub>
                          <m:sSub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CO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𝜌</m:t>
                            </m:r>
                          </m:e>
                          <m:sub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𝑠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23" name="CuadroTexto 22">
              <a:extLst>
                <a:ext uri="{FF2B5EF4-FFF2-40B4-BE49-F238E27FC236}">
                  <a16:creationId xmlns:a16="http://schemas.microsoft.com/office/drawing/2014/main" id="{98EE82BF-5377-42EE-974F-7E6FDC2B2C86}"/>
                </a:ext>
              </a:extLst>
            </xdr:cNvPr>
            <xdr:cNvSpPr txBox="1"/>
          </xdr:nvSpPr>
          <xdr:spPr>
            <a:xfrm>
              <a:off x="5795720" y="5408263"/>
              <a:ext cx="2484526" cy="3496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〖𝐸𝑝𝑙〗_50𝑘𝑔=0.116/√𝑡𝑠∗(1000+6,0∗𝐶𝑠∗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𝜌_</a:t>
              </a:r>
              <a:r>
                <a:rPr lang="es-CO" sz="1100" b="0" i="0">
                  <a:latin typeface="Cambria Math" panose="02040503050406030204" pitchFamily="18" charset="0"/>
                </a:rPr>
                <a:t>𝑠 )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4</xdr:col>
      <xdr:colOff>32288</xdr:colOff>
      <xdr:row>27</xdr:row>
      <xdr:rowOff>24216</xdr:rowOff>
    </xdr:from>
    <xdr:ext cx="2484526" cy="35311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CuadroTexto 23">
              <a:extLst>
                <a:ext uri="{FF2B5EF4-FFF2-40B4-BE49-F238E27FC236}">
                  <a16:creationId xmlns:a16="http://schemas.microsoft.com/office/drawing/2014/main" id="{B6424C9E-D02C-4790-A4FC-9AE96D63C3EC}"/>
                </a:ext>
              </a:extLst>
            </xdr:cNvPr>
            <xdr:cNvSpPr txBox="1"/>
          </xdr:nvSpPr>
          <xdr:spPr>
            <a:xfrm>
              <a:off x="5795720" y="5924873"/>
              <a:ext cx="2484526" cy="3531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𝐸𝑝𝑙</m:t>
                        </m:r>
                      </m:e>
                      <m:sub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70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𝑘𝑔</m:t>
                        </m:r>
                      </m:sub>
                    </m:sSub>
                    <m:r>
                      <a:rPr lang="es-CO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0.157</m:t>
                        </m:r>
                      </m:num>
                      <m:den>
                        <m:rad>
                          <m:radPr>
                            <m:degHide m:val="on"/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𝑡𝑠</m:t>
                            </m:r>
                          </m:e>
                        </m:rad>
                      </m:den>
                    </m:f>
                    <m:r>
                      <a:rPr lang="es-CO" sz="1100" b="0" i="1">
                        <a:latin typeface="Cambria Math" panose="02040503050406030204" pitchFamily="18" charset="0"/>
                      </a:rPr>
                      <m:t>∗</m:t>
                    </m:r>
                    <m:d>
                      <m:d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1000+6,0∗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𝐶𝑠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sSub>
                          <m:sSub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CO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𝜌</m:t>
                            </m:r>
                          </m:e>
                          <m:sub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𝑠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24" name="CuadroTexto 23">
              <a:extLst>
                <a:ext uri="{FF2B5EF4-FFF2-40B4-BE49-F238E27FC236}">
                  <a16:creationId xmlns:a16="http://schemas.microsoft.com/office/drawing/2014/main" id="{B6424C9E-D02C-4790-A4FC-9AE96D63C3EC}"/>
                </a:ext>
              </a:extLst>
            </xdr:cNvPr>
            <xdr:cNvSpPr txBox="1"/>
          </xdr:nvSpPr>
          <xdr:spPr>
            <a:xfrm>
              <a:off x="5795720" y="5924873"/>
              <a:ext cx="2484526" cy="3531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〖𝐸𝑝𝑙〗_70𝑘𝑔=0.157/√𝑡𝑠∗(1000+6,0∗𝐶𝑠∗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𝜌_</a:t>
              </a:r>
              <a:r>
                <a:rPr lang="es-CO" sz="1100" b="0" i="0">
                  <a:latin typeface="Cambria Math" panose="02040503050406030204" pitchFamily="18" charset="0"/>
                </a:rPr>
                <a:t>𝑠 )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4</xdr:col>
      <xdr:colOff>150518</xdr:colOff>
      <xdr:row>12</xdr:row>
      <xdr:rowOff>75260</xdr:rowOff>
    </xdr:from>
    <xdr:ext cx="1443280" cy="3488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CuadroTexto 24">
              <a:extLst>
                <a:ext uri="{FF2B5EF4-FFF2-40B4-BE49-F238E27FC236}">
                  <a16:creationId xmlns:a16="http://schemas.microsoft.com/office/drawing/2014/main" id="{E8D4EB95-4EFA-47AB-A840-DDBE08E679B9}"/>
                </a:ext>
              </a:extLst>
            </xdr:cNvPr>
            <xdr:cNvSpPr txBox="1"/>
          </xdr:nvSpPr>
          <xdr:spPr>
            <a:xfrm>
              <a:off x="6218296" y="2380075"/>
              <a:ext cx="1443280" cy="3488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latin typeface="Cambria Math" panose="02040503050406030204" pitchFamily="18" charset="0"/>
                      </a:rPr>
                      <m:t>𝐴𝑐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𝐼𝑒𝑀𝑎𝑔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𝐾𝑓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</m:t>
                        </m:r>
                        <m:rad>
                          <m:radPr>
                            <m:degHide m:val="on"/>
                            <m:ctrlPr>
                              <a:rPr lang="es-CO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radPr>
                          <m:deg/>
                          <m:e>
                            <m:r>
                              <a:rPr lang="es-CO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𝑡𝑠</m:t>
                            </m:r>
                          </m:e>
                        </m:rad>
                      </m:num>
                      <m:den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1.9740</m:t>
                        </m:r>
                      </m:den>
                    </m:f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25" name="CuadroTexto 24">
              <a:extLst>
                <a:ext uri="{FF2B5EF4-FFF2-40B4-BE49-F238E27FC236}">
                  <a16:creationId xmlns:a16="http://schemas.microsoft.com/office/drawing/2014/main" id="{E8D4EB95-4EFA-47AB-A840-DDBE08E679B9}"/>
                </a:ext>
              </a:extLst>
            </xdr:cNvPr>
            <xdr:cNvSpPr txBox="1"/>
          </xdr:nvSpPr>
          <xdr:spPr>
            <a:xfrm>
              <a:off x="6218296" y="2380075"/>
              <a:ext cx="1443280" cy="3488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𝐴𝑐=(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𝐼𝑒𝑀𝑎𝑔∗𝐾𝑓∗√𝑡𝑠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CO" sz="1100" b="0" i="0">
                  <a:latin typeface="Cambria Math" panose="02040503050406030204" pitchFamily="18" charset="0"/>
                </a:rPr>
                <a:t>1.9740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4</xdr:col>
      <xdr:colOff>1714030</xdr:colOff>
      <xdr:row>12</xdr:row>
      <xdr:rowOff>11288</xdr:rowOff>
    </xdr:from>
    <xdr:ext cx="1258101" cy="5386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CuadroTexto 25">
              <a:extLst>
                <a:ext uri="{FF2B5EF4-FFF2-40B4-BE49-F238E27FC236}">
                  <a16:creationId xmlns:a16="http://schemas.microsoft.com/office/drawing/2014/main" id="{D440201D-7B1E-4B42-BBE4-803CE780BC08}"/>
                </a:ext>
              </a:extLst>
            </xdr:cNvPr>
            <xdr:cNvSpPr txBox="1"/>
          </xdr:nvSpPr>
          <xdr:spPr>
            <a:xfrm>
              <a:off x="7781808" y="2316103"/>
              <a:ext cx="1258101" cy="5386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latin typeface="Cambria Math" panose="02040503050406030204" pitchFamily="18" charset="0"/>
                      </a:rPr>
                      <m:t>𝐷𝑐𝑟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es-CO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s-CO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2∗</m:t>
                            </m:r>
                            <m:sSup>
                              <m:sSupPr>
                                <m:ctrlP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es-CO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𝐴𝑐</m:t>
                                        </m:r>
                                      </m:num>
                                      <m:den>
                                        <m: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𝜋</m:t>
                                        </m:r>
                                      </m:den>
                                    </m:f>
                                  </m:e>
                                </m:d>
                              </m:e>
                              <m:sup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0.5</m:t>
                                </m:r>
                              </m:sup>
                            </m:sSup>
                          </m:e>
                        </m:d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1000</m:t>
                        </m:r>
                      </m:den>
                    </m:f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26" name="CuadroTexto 25">
              <a:extLst>
                <a:ext uri="{FF2B5EF4-FFF2-40B4-BE49-F238E27FC236}">
                  <a16:creationId xmlns:a16="http://schemas.microsoft.com/office/drawing/2014/main" id="{D440201D-7B1E-4B42-BBE4-803CE780BC08}"/>
                </a:ext>
              </a:extLst>
            </xdr:cNvPr>
            <xdr:cNvSpPr txBox="1"/>
          </xdr:nvSpPr>
          <xdr:spPr>
            <a:xfrm>
              <a:off x="7781808" y="2316103"/>
              <a:ext cx="1258101" cy="5386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𝐷𝑐𝑟=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((2∗(𝐴𝑐/𝜋)^0.5 ))/1000</a:t>
              </a:r>
              <a:endParaRPr lang="es-CO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2F76B-7406-4336-9B3E-25C161F47CBE}">
  <sheetPr>
    <tabColor rgb="FFFF0000"/>
  </sheetPr>
  <dimension ref="A1:J24"/>
  <sheetViews>
    <sheetView showGridLines="0" tabSelected="1" zoomScale="99" zoomScaleNormal="99" workbookViewId="0">
      <selection activeCell="D14" sqref="D14"/>
    </sheetView>
  </sheetViews>
  <sheetFormatPr baseColWidth="10" defaultColWidth="11.42578125" defaultRowHeight="15" x14ac:dyDescent="0.25"/>
  <cols>
    <col min="1" max="1" width="37.140625" customWidth="1"/>
    <col min="2" max="2" width="7.140625" customWidth="1"/>
    <col min="3" max="3" width="11.42578125" customWidth="1"/>
    <col min="4" max="4" width="23.85546875" customWidth="1"/>
    <col min="5" max="5" width="9.140625" customWidth="1"/>
    <col min="6" max="6" width="13.28515625" customWidth="1"/>
    <col min="7" max="7" width="13.7109375" customWidth="1"/>
  </cols>
  <sheetData>
    <row r="1" spans="1:10" x14ac:dyDescent="0.25">
      <c r="A1" s="3" t="s">
        <v>49</v>
      </c>
    </row>
    <row r="2" spans="1:10" x14ac:dyDescent="0.25">
      <c r="A2" s="3" t="s">
        <v>48</v>
      </c>
      <c r="B2" s="3"/>
      <c r="C2" s="3"/>
    </row>
    <row r="3" spans="1:10" ht="35.25" customHeight="1" x14ac:dyDescent="0.25">
      <c r="A3" s="3"/>
      <c r="B3" s="3"/>
      <c r="C3" s="3"/>
      <c r="E3" s="71" t="s">
        <v>104</v>
      </c>
      <c r="F3" s="71"/>
      <c r="G3" s="71"/>
      <c r="H3" s="71"/>
    </row>
    <row r="4" spans="1:10" ht="30" x14ac:dyDescent="0.25">
      <c r="A4" s="6" t="s">
        <v>6</v>
      </c>
      <c r="B4" s="6" t="s">
        <v>10</v>
      </c>
      <c r="C4" s="6" t="s">
        <v>9</v>
      </c>
      <c r="E4" s="66" t="s">
        <v>97</v>
      </c>
      <c r="F4" s="66" t="s">
        <v>98</v>
      </c>
      <c r="G4" s="67" t="s">
        <v>102</v>
      </c>
      <c r="H4" s="67" t="s">
        <v>103</v>
      </c>
    </row>
    <row r="5" spans="1:10" ht="30" x14ac:dyDescent="0.25">
      <c r="A5" s="39" t="s">
        <v>42</v>
      </c>
      <c r="B5" s="4" t="s">
        <v>51</v>
      </c>
      <c r="C5" s="47">
        <v>1.04</v>
      </c>
      <c r="E5" s="65">
        <v>350</v>
      </c>
      <c r="F5" s="65"/>
      <c r="G5" s="65">
        <v>177.35</v>
      </c>
      <c r="H5" s="65">
        <v>1.4999999999999999E-2</v>
      </c>
    </row>
    <row r="6" spans="1:10" ht="15" customHeight="1" x14ac:dyDescent="0.25">
      <c r="A6" s="39" t="s">
        <v>62</v>
      </c>
      <c r="B6" s="18" t="s">
        <v>63</v>
      </c>
      <c r="C6" s="48">
        <v>0.3</v>
      </c>
      <c r="E6" s="65">
        <v>300</v>
      </c>
      <c r="F6" s="65"/>
      <c r="G6" s="65">
        <v>152.01</v>
      </c>
      <c r="H6" s="65">
        <v>1.3899999999999999E-2</v>
      </c>
      <c r="I6" s="64"/>
      <c r="J6" s="64"/>
    </row>
    <row r="7" spans="1:10" x14ac:dyDescent="0.25">
      <c r="A7" s="39" t="s">
        <v>5</v>
      </c>
      <c r="B7" s="4" t="s">
        <v>11</v>
      </c>
      <c r="C7" s="48">
        <v>0.6</v>
      </c>
      <c r="E7" s="65">
        <v>250</v>
      </c>
      <c r="F7" s="65"/>
      <c r="G7" s="65">
        <v>126.68</v>
      </c>
      <c r="H7" s="65">
        <v>1.2699999999999999E-2</v>
      </c>
      <c r="I7" s="63"/>
      <c r="J7" s="63"/>
    </row>
    <row r="8" spans="1:10" x14ac:dyDescent="0.25">
      <c r="A8" s="39" t="s">
        <v>8</v>
      </c>
      <c r="B8" s="4"/>
      <c r="C8" s="48">
        <v>4</v>
      </c>
      <c r="E8" s="65">
        <v>211.6</v>
      </c>
      <c r="F8" s="65" t="s">
        <v>99</v>
      </c>
      <c r="G8" s="65">
        <v>107.22</v>
      </c>
      <c r="H8" s="65">
        <v>1.17E-2</v>
      </c>
      <c r="I8" s="63"/>
      <c r="J8" s="63"/>
    </row>
    <row r="9" spans="1:10" x14ac:dyDescent="0.25">
      <c r="A9" s="39" t="s">
        <v>12</v>
      </c>
      <c r="B9" s="4" t="s">
        <v>11</v>
      </c>
      <c r="C9" s="48">
        <v>2.44</v>
      </c>
      <c r="E9" s="65">
        <v>167.8</v>
      </c>
      <c r="F9" s="65" t="s">
        <v>100</v>
      </c>
      <c r="G9" s="65">
        <v>85.03</v>
      </c>
      <c r="H9" s="65">
        <v>1.04E-2</v>
      </c>
      <c r="I9" s="63"/>
      <c r="J9" s="63"/>
    </row>
    <row r="10" spans="1:10" x14ac:dyDescent="0.25">
      <c r="A10" s="39" t="s">
        <v>13</v>
      </c>
      <c r="B10" s="4" t="s">
        <v>11</v>
      </c>
      <c r="C10" s="48">
        <v>7</v>
      </c>
      <c r="E10" s="65">
        <v>133.1</v>
      </c>
      <c r="F10" s="65" t="s">
        <v>101</v>
      </c>
      <c r="G10" s="65">
        <v>67.44</v>
      </c>
      <c r="H10" s="65">
        <v>9.2999999999999992E-3</v>
      </c>
      <c r="I10" s="63"/>
      <c r="J10" s="63"/>
    </row>
    <row r="11" spans="1:10" x14ac:dyDescent="0.25">
      <c r="A11" s="39" t="s">
        <v>14</v>
      </c>
      <c r="B11" s="4" t="s">
        <v>11</v>
      </c>
      <c r="C11" s="48">
        <v>7</v>
      </c>
      <c r="I11" s="63"/>
      <c r="J11" s="63"/>
    </row>
    <row r="12" spans="1:10" x14ac:dyDescent="0.25">
      <c r="A12" s="72" t="s">
        <v>90</v>
      </c>
      <c r="B12" s="72"/>
      <c r="C12" s="72"/>
      <c r="I12" s="63"/>
      <c r="J12" s="63"/>
    </row>
    <row r="13" spans="1:10" x14ac:dyDescent="0.25">
      <c r="A13" s="79" t="s">
        <v>79</v>
      </c>
      <c r="B13" s="79"/>
      <c r="C13" s="79"/>
      <c r="I13" s="63"/>
      <c r="J13" s="63"/>
    </row>
    <row r="14" spans="1:10" ht="15" customHeight="1" x14ac:dyDescent="0.25">
      <c r="A14" s="46" t="s">
        <v>96</v>
      </c>
      <c r="B14" s="44" t="s">
        <v>11</v>
      </c>
      <c r="C14" s="45">
        <f>+(((((I_*VLOOKUP(Material_a_usar,Materiales,2,0)*(TCC_^0.5))/1.974)/PI())^0.5)*2)/1000</f>
        <v>1.6105745011794682E-3</v>
      </c>
      <c r="E14" s="63"/>
      <c r="F14" s="63"/>
      <c r="G14" s="63"/>
      <c r="H14" s="63"/>
      <c r="I14" s="63"/>
      <c r="J14" s="63"/>
    </row>
    <row r="15" spans="1:10" ht="27" customHeight="1" x14ac:dyDescent="0.25">
      <c r="A15" s="38" t="s">
        <v>95</v>
      </c>
      <c r="B15" s="41" t="s">
        <v>11</v>
      </c>
      <c r="C15" s="49">
        <v>9.2999999999999992E-3</v>
      </c>
    </row>
    <row r="16" spans="1:10" x14ac:dyDescent="0.25">
      <c r="A16" s="39" t="s">
        <v>15</v>
      </c>
      <c r="B16" s="4" t="s">
        <v>11</v>
      </c>
      <c r="C16" s="48">
        <v>3.5</v>
      </c>
      <c r="D16" s="37"/>
    </row>
    <row r="17" spans="1:5" ht="30" x14ac:dyDescent="0.25">
      <c r="A17" s="39" t="s">
        <v>70</v>
      </c>
      <c r="B17" s="4"/>
      <c r="C17" s="50" t="s">
        <v>71</v>
      </c>
    </row>
    <row r="18" spans="1:5" x14ac:dyDescent="0.25">
      <c r="A18" s="39" t="s">
        <v>58</v>
      </c>
      <c r="B18" s="18" t="s">
        <v>11</v>
      </c>
      <c r="C18" s="48">
        <v>0.15</v>
      </c>
    </row>
    <row r="19" spans="1:5" x14ac:dyDescent="0.25">
      <c r="A19" s="39" t="s">
        <v>67</v>
      </c>
      <c r="B19" s="18" t="s">
        <v>66</v>
      </c>
      <c r="C19" s="48">
        <v>70</v>
      </c>
    </row>
    <row r="20" spans="1:5" x14ac:dyDescent="0.25">
      <c r="A20" s="39" t="s">
        <v>40</v>
      </c>
      <c r="B20" s="10" t="s">
        <v>55</v>
      </c>
      <c r="C20" s="47">
        <v>100</v>
      </c>
      <c r="E20" s="69"/>
    </row>
    <row r="21" spans="1:5" ht="30" x14ac:dyDescent="0.25">
      <c r="A21" s="39" t="s">
        <v>54</v>
      </c>
      <c r="B21" s="10" t="s">
        <v>55</v>
      </c>
      <c r="C21" s="47">
        <v>4000</v>
      </c>
    </row>
    <row r="22" spans="1:5" ht="15.75" thickBot="1" x14ac:dyDescent="0.3"/>
    <row r="23" spans="1:5" x14ac:dyDescent="0.25">
      <c r="A23" s="73" t="s">
        <v>73</v>
      </c>
      <c r="B23" s="74"/>
      <c r="C23" s="75"/>
    </row>
    <row r="24" spans="1:5" ht="15.75" thickBot="1" x14ac:dyDescent="0.3">
      <c r="A24" s="76" t="str">
        <f>+Memoria!A55</f>
        <v>Malla Aceptada</v>
      </c>
      <c r="B24" s="77"/>
      <c r="C24" s="78"/>
    </row>
  </sheetData>
  <dataConsolidate/>
  <mergeCells count="5">
    <mergeCell ref="E3:H3"/>
    <mergeCell ref="A12:C12"/>
    <mergeCell ref="A23:C23"/>
    <mergeCell ref="A24:C24"/>
    <mergeCell ref="A13:C13"/>
  </mergeCells>
  <conditionalFormatting sqref="C18">
    <cfRule type="expression" dxfId="8" priority="22">
      <formula>$C$17="No"</formula>
    </cfRule>
  </conditionalFormatting>
  <conditionalFormatting sqref="C21">
    <cfRule type="expression" dxfId="7" priority="21">
      <formula>$C$17="No"</formula>
    </cfRule>
  </conditionalFormatting>
  <conditionalFormatting sqref="A24">
    <cfRule type="expression" dxfId="6" priority="19">
      <formula>$A$24&lt;&gt;"Malla Aceptada"</formula>
    </cfRule>
    <cfRule type="expression" dxfId="5" priority="20">
      <formula>$A$24="Malla Aceptada"</formula>
    </cfRule>
  </conditionalFormatting>
  <conditionalFormatting sqref="A13:C13 A14 C14">
    <cfRule type="expression" dxfId="4" priority="18">
      <formula>$C$12="No"</formula>
    </cfRule>
  </conditionalFormatting>
  <conditionalFormatting sqref="E5">
    <cfRule type="expression" dxfId="3" priority="14">
      <formula>"o($C$14&gt;$C$9;$C$14&gt;$C$10)"</formula>
    </cfRule>
  </conditionalFormatting>
  <conditionalFormatting sqref="B15:C15">
    <cfRule type="expression" dxfId="2" priority="6">
      <formula>#REF!="No definido"</formula>
    </cfRule>
  </conditionalFormatting>
  <conditionalFormatting sqref="C15">
    <cfRule type="expression" dxfId="1" priority="1">
      <formula>$C$15&lt;$C$14</formula>
    </cfRule>
  </conditionalFormatting>
  <dataValidations count="8">
    <dataValidation type="decimal" allowBlank="1" showInputMessage="1" showErrorMessage="1" errorTitle="Error Rango" error="La capa superficial se encuentra entre 0.1 y 0.15m" promptTitle="Espesor de la capa superficial" prompt="CIfra en metros entre 0.1 y 0.15" sqref="C18" xr:uid="{50787BCF-1A14-43D7-89C9-A6021FB48204}">
      <formula1>0.1</formula1>
      <formula2>0.15</formula2>
    </dataValidation>
    <dataValidation type="decimal" operator="greaterThan" allowBlank="1" showInputMessage="1" showErrorMessage="1" sqref="C6" xr:uid="{FDA08451-AD18-4D72-B93B-4E67341BE658}">
      <formula1>0</formula1>
    </dataValidation>
    <dataValidation type="list" operator="greaterThan" allowBlank="1" showInputMessage="1" showErrorMessage="1" sqref="C19" xr:uid="{037CF2CB-2C56-40C0-A240-0AA4129FD018}">
      <formula1>"50,70"</formula1>
    </dataValidation>
    <dataValidation type="list" allowBlank="1" showInputMessage="1" showErrorMessage="1" sqref="C17" xr:uid="{D4B17C37-766D-41DC-9034-417AB4F73A7E}">
      <formula1>"Si,No"</formula1>
    </dataValidation>
    <dataValidation type="whole" operator="greaterThanOrEqual" allowBlank="1" showInputMessage="1" showErrorMessage="1" error="Longitud debe ser Mayor o Igual a 5 m" sqref="C10:C11" xr:uid="{E08E4CAC-AF33-4F31-A4A1-025490A0E43F}">
      <formula1>5</formula1>
    </dataValidation>
    <dataValidation type="custom" allowBlank="1" showInputMessage="1" showErrorMessage="1" error="El diametro del conductor comercial deb ser mayor que el diametro de referencia" sqref="C15" xr:uid="{5C46D84B-9BFE-4607-A79F-47C8ABA68478}">
      <formula1>+C15&gt;C14</formula1>
    </dataValidation>
    <dataValidation type="custom" allowBlank="1" showInputMessage="1" showErrorMessage="1" sqref="D16" xr:uid="{ECA642B2-8695-4B10-88F6-012178A35979}">
      <formula1>+AND(D16&lt;=C10,D16&lt;=C11)</formula1>
    </dataValidation>
    <dataValidation type="custom" allowBlank="1" showInputMessage="1" showErrorMessage="1" error="Supera la longitud de X o Y" sqref="C16" xr:uid="{512CE519-423C-4023-8CAE-86AF54CB703E}">
      <formula1>+AND(C16&lt;=C10,C16&lt;=C11)</formula1>
    </dataValidation>
  </dataValidation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955964-A30F-438A-AB16-502D8820E989}">
          <x14:formula1>
            <xm:f>Memoria!$H$7:$H$16</xm:f>
          </x14:formula1>
          <xm:sqref>A13:C13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95330-E226-4022-93C7-76DD04DAE9A2}">
  <dimension ref="A1:I55"/>
  <sheetViews>
    <sheetView showGridLines="0" topLeftCell="A31" zoomScale="99" zoomScaleNormal="99" workbookViewId="0">
      <selection activeCell="D39" sqref="D39"/>
    </sheetView>
  </sheetViews>
  <sheetFormatPr baseColWidth="10" defaultColWidth="11.42578125" defaultRowHeight="15" x14ac:dyDescent="0.25"/>
  <cols>
    <col min="1" max="1" width="50.7109375" customWidth="1"/>
    <col min="2" max="2" width="11.42578125" customWidth="1"/>
    <col min="3" max="3" width="11.5703125" bestFit="1" customWidth="1"/>
    <col min="4" max="4" width="15" customWidth="1"/>
    <col min="5" max="5" width="56.5703125" customWidth="1"/>
    <col min="6" max="7" width="11.42578125" customWidth="1"/>
    <col min="8" max="8" width="51.7109375" bestFit="1" customWidth="1"/>
    <col min="9" max="9" width="34.7109375" bestFit="1" customWidth="1"/>
  </cols>
  <sheetData>
    <row r="1" spans="1:9" x14ac:dyDescent="0.25">
      <c r="A1" s="3" t="s">
        <v>49</v>
      </c>
    </row>
    <row r="3" spans="1:9" x14ac:dyDescent="0.25">
      <c r="A3" s="3" t="s">
        <v>48</v>
      </c>
      <c r="B3" s="3"/>
      <c r="C3" s="3"/>
      <c r="D3" s="3"/>
    </row>
    <row r="4" spans="1:9" x14ac:dyDescent="0.25">
      <c r="A4" s="3"/>
      <c r="B4" s="3"/>
      <c r="C4" s="3"/>
      <c r="D4" s="3"/>
    </row>
    <row r="5" spans="1:9" x14ac:dyDescent="0.25">
      <c r="A5" s="6" t="s">
        <v>6</v>
      </c>
      <c r="B5" s="6" t="s">
        <v>7</v>
      </c>
      <c r="C5" s="6" t="s">
        <v>10</v>
      </c>
      <c r="D5" s="6" t="s">
        <v>9</v>
      </c>
      <c r="H5" t="s">
        <v>89</v>
      </c>
    </row>
    <row r="6" spans="1:9" x14ac:dyDescent="0.25">
      <c r="A6" s="5" t="str">
        <f>+malla!A7</f>
        <v>Profundidad de enterramiento de malla</v>
      </c>
      <c r="B6" s="4" t="s">
        <v>0</v>
      </c>
      <c r="C6" s="4" t="str">
        <f>+malla!B7</f>
        <v>m</v>
      </c>
      <c r="D6" s="4">
        <f>+malla!C7</f>
        <v>0.6</v>
      </c>
      <c r="H6" s="4" t="s">
        <v>77</v>
      </c>
      <c r="I6" s="4" t="s">
        <v>88</v>
      </c>
    </row>
    <row r="7" spans="1:9" x14ac:dyDescent="0.25">
      <c r="A7" s="5" t="str">
        <f>+malla!A8</f>
        <v>Número de varillas</v>
      </c>
      <c r="B7" s="4" t="s">
        <v>1</v>
      </c>
      <c r="C7" s="4">
        <f>+malla!B8</f>
        <v>0</v>
      </c>
      <c r="D7" s="4">
        <f>+malla!C8</f>
        <v>4</v>
      </c>
      <c r="H7" s="4" t="s">
        <v>83</v>
      </c>
      <c r="I7" s="4">
        <v>15.95</v>
      </c>
    </row>
    <row r="8" spans="1:9" x14ac:dyDescent="0.25">
      <c r="A8" s="5" t="str">
        <f>+malla!A9</f>
        <v>Longitud de varillas</v>
      </c>
      <c r="B8" s="4" t="s">
        <v>2</v>
      </c>
      <c r="C8" s="4" t="str">
        <f>+malla!B9</f>
        <v>m</v>
      </c>
      <c r="D8" s="4">
        <f>+malla!C9</f>
        <v>2.44</v>
      </c>
      <c r="H8" s="4" t="s">
        <v>87</v>
      </c>
      <c r="I8" s="4">
        <v>30.05</v>
      </c>
    </row>
    <row r="9" spans="1:9" x14ac:dyDescent="0.25">
      <c r="A9" s="5" t="str">
        <f>+malla!A10</f>
        <v>Longitud de la malla en el eje X</v>
      </c>
      <c r="B9" s="4" t="s">
        <v>3</v>
      </c>
      <c r="C9" s="4" t="str">
        <f>+malla!B10</f>
        <v>m</v>
      </c>
      <c r="D9" s="4">
        <f>+malla!C10</f>
        <v>7</v>
      </c>
      <c r="H9" s="4" t="s">
        <v>82</v>
      </c>
      <c r="I9" s="4">
        <v>14.64</v>
      </c>
    </row>
    <row r="10" spans="1:9" x14ac:dyDescent="0.25">
      <c r="A10" s="5" t="str">
        <f>+malla!A11</f>
        <v>Longitud de la malla en el eje Y</v>
      </c>
      <c r="B10" s="4" t="s">
        <v>4</v>
      </c>
      <c r="C10" s="4" t="str">
        <f>+malla!B11</f>
        <v>m</v>
      </c>
      <c r="D10" s="4">
        <f>+malla!C11</f>
        <v>7</v>
      </c>
      <c r="H10" s="4" t="s">
        <v>81</v>
      </c>
      <c r="I10" s="4">
        <v>10.45</v>
      </c>
    </row>
    <row r="11" spans="1:9" ht="26.45" customHeight="1" x14ac:dyDescent="0.25">
      <c r="A11" s="5" t="str">
        <f>+"Material a usar"</f>
        <v>Material a usar</v>
      </c>
      <c r="B11" s="80" t="str">
        <f>+Material_a_usar</f>
        <v>Cobre Duro cuando se utiliza soldadura exotérmica</v>
      </c>
      <c r="C11" s="81"/>
      <c r="D11" s="82"/>
      <c r="H11" s="4" t="s">
        <v>78</v>
      </c>
      <c r="I11" s="4">
        <v>7</v>
      </c>
    </row>
    <row r="12" spans="1:9" ht="15.75" thickBot="1" x14ac:dyDescent="0.3">
      <c r="A12" s="39" t="s">
        <v>91</v>
      </c>
      <c r="B12" s="80" t="s">
        <v>92</v>
      </c>
      <c r="C12" s="81"/>
      <c r="D12" s="42">
        <f>+VLOOKUP(Material_a_usar,Materiales,2,0)</f>
        <v>7.06</v>
      </c>
      <c r="H12" s="4" t="s">
        <v>79</v>
      </c>
      <c r="I12" s="4">
        <v>7.06</v>
      </c>
    </row>
    <row r="13" spans="1:9" x14ac:dyDescent="0.25">
      <c r="A13" s="39" t="str">
        <f>+malla!A14</f>
        <v>Diametro del  Conductor de referencia</v>
      </c>
      <c r="B13" s="40" t="s">
        <v>93</v>
      </c>
      <c r="C13" s="52" t="str">
        <f>+malla!B14</f>
        <v>m</v>
      </c>
      <c r="D13" s="51">
        <f>(2*(((IeMag*Kf_*(ts_^0.5)/1.974)/PI())^0.5))/1000</f>
        <v>1.6105745011794682E-3</v>
      </c>
      <c r="E13" s="54"/>
      <c r="H13" s="4" t="s">
        <v>80</v>
      </c>
      <c r="I13" s="4">
        <v>11.78</v>
      </c>
    </row>
    <row r="14" spans="1:9" ht="38.450000000000003" customHeight="1" thickBot="1" x14ac:dyDescent="0.3">
      <c r="A14" s="39" t="str">
        <f>+malla!A15</f>
        <v>Diametro de Conductor Comercial a usar</v>
      </c>
      <c r="B14" s="40" t="s">
        <v>94</v>
      </c>
      <c r="C14" s="52" t="str">
        <f>+malla!B15</f>
        <v>m</v>
      </c>
      <c r="D14" s="43">
        <f>+malla!C15</f>
        <v>9.2999999999999992E-3</v>
      </c>
      <c r="E14" s="55"/>
      <c r="H14" s="4" t="s">
        <v>86</v>
      </c>
      <c r="I14" s="4">
        <v>28.96</v>
      </c>
    </row>
    <row r="15" spans="1:9" x14ac:dyDescent="0.25">
      <c r="A15" s="5" t="str">
        <f>+malla!A16</f>
        <v>Espaciamiento entre conductores</v>
      </c>
      <c r="B15" s="4" t="s">
        <v>16</v>
      </c>
      <c r="C15" s="53" t="str">
        <f>+malla!B16</f>
        <v>m</v>
      </c>
      <c r="D15" s="4">
        <f>+malla!C16</f>
        <v>3.5</v>
      </c>
      <c r="H15" s="4" t="s">
        <v>85</v>
      </c>
      <c r="I15" s="4">
        <v>14.72</v>
      </c>
    </row>
    <row r="16" spans="1:9" x14ac:dyDescent="0.25">
      <c r="A16" s="5" t="str">
        <f>+malla!A17</f>
        <v>Se tiene previsto capa superficial de grava?</v>
      </c>
      <c r="B16" s="4"/>
      <c r="C16" s="53"/>
      <c r="D16" s="4" t="str">
        <f>+malla!C17</f>
        <v>Si</v>
      </c>
      <c r="H16" s="4" t="s">
        <v>84</v>
      </c>
      <c r="I16" s="4">
        <v>14.64</v>
      </c>
    </row>
    <row r="17" spans="1:5" x14ac:dyDescent="0.25">
      <c r="A17" s="5" t="str">
        <f>+malla!A18</f>
        <v>Espesor de la capa superficial</v>
      </c>
      <c r="B17" s="18" t="s">
        <v>59</v>
      </c>
      <c r="C17" s="53" t="str">
        <f>+malla!B18</f>
        <v>m</v>
      </c>
      <c r="D17" s="4">
        <f>+malla!C18</f>
        <v>0.15</v>
      </c>
    </row>
    <row r="18" spans="1:5" x14ac:dyDescent="0.25">
      <c r="A18" s="5" t="str">
        <f>+malla!A6</f>
        <v>Tiempo de despegue de falla</v>
      </c>
      <c r="B18" s="18" t="s">
        <v>64</v>
      </c>
      <c r="C18" s="53" t="str">
        <f>+malla!B6</f>
        <v>s</v>
      </c>
      <c r="D18" s="4">
        <f>+malla!C6</f>
        <v>0.3</v>
      </c>
    </row>
    <row r="19" spans="1:5" x14ac:dyDescent="0.25">
      <c r="A19" s="5" t="str">
        <f>+malla!A19</f>
        <v>Peso referencia Persona</v>
      </c>
      <c r="B19" s="18" t="s">
        <v>68</v>
      </c>
      <c r="C19" s="53" t="str">
        <f>+malla!B19</f>
        <v>kg</v>
      </c>
      <c r="D19" s="4">
        <f>+malla!C19</f>
        <v>70</v>
      </c>
    </row>
    <row r="20" spans="1:5" ht="15.75" thickBot="1" x14ac:dyDescent="0.3">
      <c r="A20" s="2"/>
      <c r="D20" s="36"/>
    </row>
    <row r="21" spans="1:5" x14ac:dyDescent="0.25">
      <c r="A21" s="7" t="s">
        <v>42</v>
      </c>
      <c r="B21" s="11" t="s">
        <v>27</v>
      </c>
      <c r="C21" s="11" t="s">
        <v>51</v>
      </c>
      <c r="D21" s="30">
        <f>+malla!C5</f>
        <v>1.04</v>
      </c>
    </row>
    <row r="22" spans="1:5" ht="39.6" customHeight="1" x14ac:dyDescent="0.25">
      <c r="A22" s="8" t="s">
        <v>40</v>
      </c>
      <c r="B22" s="10" t="s">
        <v>37</v>
      </c>
      <c r="C22" s="10" t="s">
        <v>52</v>
      </c>
      <c r="D22" s="31">
        <f>+malla!C20</f>
        <v>100</v>
      </c>
    </row>
    <row r="23" spans="1:5" ht="39.6" customHeight="1" thickBot="1" x14ac:dyDescent="0.3">
      <c r="A23" s="9" t="s">
        <v>54</v>
      </c>
      <c r="B23" s="17" t="s">
        <v>53</v>
      </c>
      <c r="C23" s="17" t="s">
        <v>52</v>
      </c>
      <c r="D23" s="32">
        <f>+IF(D16="No",re_,malla!C21)</f>
        <v>4000</v>
      </c>
    </row>
    <row r="24" spans="1:5" ht="52.9" customHeight="1" thickBot="1" x14ac:dyDescent="0.3">
      <c r="A24" s="15" t="s">
        <v>56</v>
      </c>
      <c r="B24" s="13" t="s">
        <v>57</v>
      </c>
      <c r="C24" s="13"/>
      <c r="D24" s="68">
        <f>IF(D16="No",1,1-((0.09*(1-re_/rs_))/(2*hs_+0.09)))</f>
        <v>0.77500000000000002</v>
      </c>
      <c r="E24" s="19"/>
    </row>
    <row r="25" spans="1:5" ht="41.25" customHeight="1" thickBot="1" x14ac:dyDescent="0.3">
      <c r="A25" s="92" t="s">
        <v>60</v>
      </c>
      <c r="B25" s="94" t="s">
        <v>61</v>
      </c>
      <c r="C25" s="96" t="s">
        <v>65</v>
      </c>
      <c r="D25" s="61">
        <f>+IF(W_&lt;70,(0.116/ts_^0.5)*(1000+1.5*Cs_*rs_),(0.157/ts_^0.5)*(1000+1.5*Cs_*rs_))</f>
        <v>1619.5243154498587</v>
      </c>
      <c r="E25" s="12"/>
    </row>
    <row r="26" spans="1:5" ht="48.6" customHeight="1" thickBot="1" x14ac:dyDescent="0.3">
      <c r="A26" s="93"/>
      <c r="B26" s="95"/>
      <c r="C26" s="97"/>
      <c r="D26" s="62"/>
      <c r="E26" s="12"/>
    </row>
    <row r="27" spans="1:5" ht="37.15" customHeight="1" thickBot="1" x14ac:dyDescent="0.3">
      <c r="A27" s="92" t="s">
        <v>46</v>
      </c>
      <c r="B27" s="94" t="s">
        <v>69</v>
      </c>
      <c r="C27" s="96" t="s">
        <v>65</v>
      </c>
      <c r="D27" s="61">
        <f>+IF(W_&lt;70,(1000+6*Cs_*rs_)*0.116/ts_^0.5,(1000+6*Cs_*rs_)*0.157/ts_^0.5)</f>
        <v>5618.1728465163242</v>
      </c>
      <c r="E27" s="12"/>
    </row>
    <row r="28" spans="1:5" ht="31.15" customHeight="1" thickBot="1" x14ac:dyDescent="0.3">
      <c r="A28" s="93"/>
      <c r="B28" s="95"/>
      <c r="C28" s="97"/>
      <c r="D28" s="62"/>
      <c r="E28" s="19"/>
    </row>
    <row r="29" spans="1:5" ht="64.900000000000006" customHeight="1" thickBot="1" x14ac:dyDescent="0.3">
      <c r="A29" s="2"/>
      <c r="B29" s="1"/>
    </row>
    <row r="30" spans="1:5" ht="33" customHeight="1" thickBot="1" x14ac:dyDescent="0.3">
      <c r="A30" s="15" t="s">
        <v>43</v>
      </c>
      <c r="B30" s="13" t="s">
        <v>17</v>
      </c>
      <c r="C30" s="13" t="s">
        <v>11</v>
      </c>
      <c r="D30" s="14">
        <f>+(L1_/D_+1)*L2_+(L2_/D_+1)*L1_</f>
        <v>42</v>
      </c>
      <c r="E30" s="12"/>
    </row>
    <row r="31" spans="1:5" ht="24" customHeight="1" thickBot="1" x14ac:dyDescent="0.3">
      <c r="A31" s="15" t="s">
        <v>18</v>
      </c>
      <c r="B31" s="13" t="s">
        <v>19</v>
      </c>
      <c r="C31" s="13" t="s">
        <v>11</v>
      </c>
      <c r="D31" s="14">
        <f>+Lc_+N_*Lv_</f>
        <v>51.76</v>
      </c>
      <c r="E31" s="12"/>
    </row>
    <row r="32" spans="1:5" ht="21.6" customHeight="1" thickBot="1" x14ac:dyDescent="0.3">
      <c r="A32" s="15" t="s">
        <v>20</v>
      </c>
      <c r="B32" s="13" t="s">
        <v>21</v>
      </c>
      <c r="C32" s="13" t="s">
        <v>22</v>
      </c>
      <c r="D32" s="14">
        <f>+L1_*L2_</f>
        <v>49</v>
      </c>
      <c r="E32" s="12"/>
    </row>
    <row r="33" spans="1:5" ht="54" customHeight="1" thickBot="1" x14ac:dyDescent="0.3">
      <c r="A33" s="57" t="s">
        <v>41</v>
      </c>
      <c r="B33" s="58" t="s">
        <v>23</v>
      </c>
      <c r="C33" s="58" t="s">
        <v>24</v>
      </c>
      <c r="D33" s="59">
        <f>re_*(1/Lt_+(1/(Dcr_*20)^0.5)*(1+1/(1+h_*(20/Dcr_)^0.5)))</f>
        <v>7.4355813896287009</v>
      </c>
      <c r="E33" s="12"/>
    </row>
    <row r="34" spans="1:5" ht="26.45" customHeight="1" thickBot="1" x14ac:dyDescent="0.3">
      <c r="A34" s="57" t="s">
        <v>25</v>
      </c>
      <c r="B34" s="58" t="s">
        <v>26</v>
      </c>
      <c r="C34" s="58" t="s">
        <v>11</v>
      </c>
      <c r="D34" s="103">
        <f>+Rg_*IeMag*1000</f>
        <v>7733.0046452138486</v>
      </c>
      <c r="E34" s="12"/>
    </row>
    <row r="35" spans="1:5" ht="36.6" customHeight="1" thickBot="1" x14ac:dyDescent="0.3">
      <c r="A35" s="98" t="s">
        <v>72</v>
      </c>
      <c r="B35" s="99"/>
      <c r="C35" s="99"/>
      <c r="D35" s="100"/>
      <c r="E35" s="20" t="str">
        <f>+IF((Ecl_-Gpr_)&gt;0,"Se Acepta la Malla","Malla no aceptada por criterio:Tensión de contacto Tolerable &gt; Potencial Máximo de Tierra")</f>
        <v>Malla no aceptada por criterio:Tensión de contacto Tolerable &gt; Potencial Máximo de Tierra</v>
      </c>
    </row>
    <row r="36" spans="1:5" ht="15.6" customHeight="1" thickBot="1" x14ac:dyDescent="0.3">
      <c r="A36" s="21"/>
      <c r="B36" s="22"/>
      <c r="C36" s="22"/>
      <c r="D36" s="23" t="s">
        <v>74</v>
      </c>
      <c r="E36" s="24" t="str">
        <f>+IF((Ecl_-Gpr_)&gt;0,"Si","No")</f>
        <v>No</v>
      </c>
    </row>
    <row r="37" spans="1:5" ht="18" customHeight="1" thickBot="1" x14ac:dyDescent="0.3">
      <c r="A37" s="83"/>
      <c r="B37" s="13" t="s">
        <v>28</v>
      </c>
      <c r="C37" s="13" t="s">
        <v>11</v>
      </c>
      <c r="D37" s="14">
        <f>+(L1_+L2_)*2</f>
        <v>28</v>
      </c>
      <c r="E37" s="12"/>
    </row>
    <row r="38" spans="1:5" ht="31.9" customHeight="1" thickBot="1" x14ac:dyDescent="0.3">
      <c r="A38" s="84"/>
      <c r="B38" s="13" t="s">
        <v>29</v>
      </c>
      <c r="C38" s="13"/>
      <c r="D38" s="14">
        <f>2*Lc_/Lp_</f>
        <v>3</v>
      </c>
      <c r="E38" s="12"/>
    </row>
    <row r="39" spans="1:5" ht="41.45" customHeight="1" thickBot="1" x14ac:dyDescent="0.3">
      <c r="A39" s="84"/>
      <c r="B39" s="13" t="s">
        <v>30</v>
      </c>
      <c r="C39" s="13"/>
      <c r="D39" s="14">
        <f>(+Lp_/(4*(Dcr_^0.5)))^0.5</f>
        <v>1</v>
      </c>
      <c r="E39" s="12"/>
    </row>
    <row r="40" spans="1:5" ht="39.6" customHeight="1" thickBot="1" x14ac:dyDescent="0.3">
      <c r="A40" s="84"/>
      <c r="B40" s="13" t="s">
        <v>31</v>
      </c>
      <c r="C40" s="13"/>
      <c r="D40" s="14">
        <f>+(L1_*L2_/Dcr_)^(0.7*Dcr_/(L1_*L2_))</f>
        <v>1</v>
      </c>
      <c r="E40" s="12"/>
    </row>
    <row r="41" spans="1:5" ht="15" customHeight="1" thickBot="1" x14ac:dyDescent="0.3">
      <c r="A41" s="84"/>
      <c r="B41" s="13" t="s">
        <v>32</v>
      </c>
      <c r="C41" s="13"/>
      <c r="D41" s="14">
        <f>na_*nb_*nc_</f>
        <v>3</v>
      </c>
      <c r="E41" s="12"/>
    </row>
    <row r="42" spans="1:5" ht="22.15" customHeight="1" thickBot="1" x14ac:dyDescent="0.3">
      <c r="A42" s="84"/>
      <c r="B42" s="13" t="s">
        <v>33</v>
      </c>
      <c r="C42" s="13"/>
      <c r="D42" s="14">
        <f>+(1+h_)^0.5</f>
        <v>1.2649110640673518</v>
      </c>
      <c r="E42" s="12"/>
    </row>
    <row r="43" spans="1:5" ht="22.15" customHeight="1" thickBot="1" x14ac:dyDescent="0.3">
      <c r="A43" s="84"/>
      <c r="B43" s="13" t="s">
        <v>34</v>
      </c>
      <c r="C43" s="13"/>
      <c r="D43" s="14">
        <f>0.644+0.148*nd_</f>
        <v>1.0880000000000001</v>
      </c>
      <c r="E43" s="12"/>
    </row>
    <row r="44" spans="1:5" ht="38.450000000000003" customHeight="1" thickBot="1" x14ac:dyDescent="0.3">
      <c r="A44" s="84"/>
      <c r="B44" s="13" t="s">
        <v>35</v>
      </c>
      <c r="C44" s="13"/>
      <c r="D44" s="101">
        <f>1/(2*nd_)^(2/nd_)</f>
        <v>0.30285343213868998</v>
      </c>
      <c r="E44" s="12"/>
    </row>
    <row r="45" spans="1:5" ht="45.6" customHeight="1" thickBot="1" x14ac:dyDescent="0.3">
      <c r="A45" s="85"/>
      <c r="B45" s="13" t="s">
        <v>36</v>
      </c>
      <c r="C45" s="13"/>
      <c r="D45" s="70">
        <f>+(1/(2*PI()))*(LN((D_^2/(16*h_*D14))+((D_+2*h_)^2/(8*D_*D14))-(h_/(4*D14)))+(Kii_/Kh_)*LN(8/(PI()*(2*nd_-1))))</f>
        <v>0.82217780517617145</v>
      </c>
      <c r="E45" s="12"/>
    </row>
    <row r="46" spans="1:5" ht="27" customHeight="1" thickBot="1" x14ac:dyDescent="0.3">
      <c r="A46" s="57" t="s">
        <v>44</v>
      </c>
      <c r="B46" s="60" t="s">
        <v>50</v>
      </c>
      <c r="C46" s="60"/>
      <c r="D46" s="102">
        <f>+(re_*IeMag*1000*Km_*Ki_)/(Lc_+(1.55+1.22*(Lv_/((L1_^2+L2_^2)^0.5)))*N_*Lv_)</f>
        <v>1548.895157164312</v>
      </c>
      <c r="E46" s="16"/>
    </row>
    <row r="47" spans="1:5" ht="53.45" customHeight="1" thickBot="1" x14ac:dyDescent="0.3">
      <c r="A47" s="28"/>
      <c r="B47" s="86" t="str">
        <f>+IF(Vmalla&gt;Ecl_,"No cumple debe ajustarse  Diseño Preliminar","Cumple criterio Tensión Malla")</f>
        <v>Cumple criterio Tensión Malla</v>
      </c>
      <c r="C47" s="87"/>
      <c r="D47" s="87"/>
      <c r="E47" s="88"/>
    </row>
    <row r="48" spans="1:5" ht="18.600000000000001" customHeight="1" thickBot="1" x14ac:dyDescent="0.3">
      <c r="A48" s="29"/>
      <c r="B48" s="29"/>
      <c r="C48" s="29"/>
      <c r="D48" s="23" t="s">
        <v>75</v>
      </c>
      <c r="E48" s="29" t="str">
        <f>+IF(Vmalla&gt;Ecl_,"No","Si Parcial")</f>
        <v>Si Parcial</v>
      </c>
    </row>
    <row r="49" spans="1:5" ht="41.45" customHeight="1" thickBot="1" x14ac:dyDescent="0.3">
      <c r="A49" s="15"/>
      <c r="B49" s="13" t="s">
        <v>38</v>
      </c>
      <c r="C49" s="13"/>
      <c r="D49" s="14">
        <f>(1/PI())*(1/(2*h_)+1/(D_+h_)+(1/D_)*(1-0.5^(nd_-2)))</f>
        <v>0.38836763697569354</v>
      </c>
      <c r="E49" s="56"/>
    </row>
    <row r="50" spans="1:5" ht="19.149999999999999" customHeight="1" thickBot="1" x14ac:dyDescent="0.3">
      <c r="A50" s="57" t="s">
        <v>45</v>
      </c>
      <c r="B50" s="60" t="s">
        <v>39</v>
      </c>
      <c r="C50" s="60"/>
      <c r="D50" s="102">
        <f>+(re_*IeMag*1000*Ks_*Ki_)/(0.75*Lc_+0.85*N_*Lv_)</f>
        <v>1104.2460262105155</v>
      </c>
      <c r="E50" s="16"/>
    </row>
    <row r="51" spans="1:5" ht="36.6" customHeight="1" thickBot="1" x14ac:dyDescent="0.3">
      <c r="A51" s="28"/>
      <c r="B51" s="86" t="str">
        <f>+IF(Vpaso&gt;Epl_,"No cumple debe ajustarse  Diseño Preliminar","Cumple criterio Tensión de paso")</f>
        <v>Cumple criterio Tensión de paso</v>
      </c>
      <c r="C51" s="87"/>
      <c r="D51" s="87"/>
      <c r="E51" s="88"/>
    </row>
    <row r="52" spans="1:5" ht="15.75" thickBot="1" x14ac:dyDescent="0.3">
      <c r="A52" s="33"/>
      <c r="B52" s="34"/>
      <c r="C52" s="34"/>
      <c r="D52" s="23" t="s">
        <v>76</v>
      </c>
      <c r="E52" s="35" t="str">
        <f>+IF(Vpaso&gt;Epl_,"No","Si")</f>
        <v>Si</v>
      </c>
    </row>
    <row r="53" spans="1:5" ht="15.75" thickBot="1" x14ac:dyDescent="0.3"/>
    <row r="54" spans="1:5" x14ac:dyDescent="0.25">
      <c r="A54" s="25" t="s">
        <v>47</v>
      </c>
      <c r="B54" s="26"/>
      <c r="C54" s="26"/>
      <c r="D54" s="26"/>
      <c r="E54" s="27"/>
    </row>
    <row r="55" spans="1:5" ht="15.75" thickBot="1" x14ac:dyDescent="0.3">
      <c r="A55" s="89" t="str">
        <f>+IF(OR(Criterio1="Si",AND(Criterio3="Si",Criterio2="Si Parcial")),"Malla Aceptada","Malla No Aceptada")</f>
        <v>Malla Aceptada</v>
      </c>
      <c r="B55" s="90"/>
      <c r="C55" s="90"/>
      <c r="D55" s="90"/>
      <c r="E55" s="91"/>
    </row>
  </sheetData>
  <mergeCells count="13">
    <mergeCell ref="B11:D11"/>
    <mergeCell ref="A37:A45"/>
    <mergeCell ref="B47:E47"/>
    <mergeCell ref="B51:E51"/>
    <mergeCell ref="A55:E55"/>
    <mergeCell ref="A25:A26"/>
    <mergeCell ref="B25:B26"/>
    <mergeCell ref="C25:C26"/>
    <mergeCell ref="A27:A28"/>
    <mergeCell ref="B27:B28"/>
    <mergeCell ref="C27:C28"/>
    <mergeCell ref="A35:D35"/>
    <mergeCell ref="B12:C12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434671E-F3A5-460F-930E-A852F18DACED}">
            <xm:f>malla!$C$12="No"</xm:f>
            <x14:dxf>
              <fill>
                <patternFill>
                  <bgColor theme="1"/>
                </patternFill>
              </fill>
            </x14:dxf>
          </x14:cfRule>
          <xm:sqref>A11:A14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42</vt:i4>
      </vt:variant>
    </vt:vector>
  </HeadingPairs>
  <TitlesOfParts>
    <vt:vector size="44" baseType="lpstr">
      <vt:lpstr>malla</vt:lpstr>
      <vt:lpstr>Memoria</vt:lpstr>
      <vt:lpstr>Ac_</vt:lpstr>
      <vt:lpstr>Acr_</vt:lpstr>
      <vt:lpstr>Criterio1</vt:lpstr>
      <vt:lpstr>Criterio2</vt:lpstr>
      <vt:lpstr>Criterio3</vt:lpstr>
      <vt:lpstr>Cs_</vt:lpstr>
      <vt:lpstr>D_</vt:lpstr>
      <vt:lpstr>Dcr_</vt:lpstr>
      <vt:lpstr>Ecl_</vt:lpstr>
      <vt:lpstr>Epl_</vt:lpstr>
      <vt:lpstr>Gpr_</vt:lpstr>
      <vt:lpstr>h_</vt:lpstr>
      <vt:lpstr>hs_</vt:lpstr>
      <vt:lpstr>I_</vt:lpstr>
      <vt:lpstr>IeMag</vt:lpstr>
      <vt:lpstr>Kf_</vt:lpstr>
      <vt:lpstr>Kh_</vt:lpstr>
      <vt:lpstr>Ki_</vt:lpstr>
      <vt:lpstr>Kii_</vt:lpstr>
      <vt:lpstr>Km_</vt:lpstr>
      <vt:lpstr>Ks_</vt:lpstr>
      <vt:lpstr>L1_</vt:lpstr>
      <vt:lpstr>L2_</vt:lpstr>
      <vt:lpstr>Lc_</vt:lpstr>
      <vt:lpstr>Lp_</vt:lpstr>
      <vt:lpstr>Lt_</vt:lpstr>
      <vt:lpstr>Lv_</vt:lpstr>
      <vt:lpstr>Material_a_usar</vt:lpstr>
      <vt:lpstr>Materiales</vt:lpstr>
      <vt:lpstr>N_</vt:lpstr>
      <vt:lpstr>na_</vt:lpstr>
      <vt:lpstr>nb_</vt:lpstr>
      <vt:lpstr>nc_</vt:lpstr>
      <vt:lpstr>nd_</vt:lpstr>
      <vt:lpstr>re_</vt:lpstr>
      <vt:lpstr>Rg_</vt:lpstr>
      <vt:lpstr>rs_</vt:lpstr>
      <vt:lpstr>TCC_</vt:lpstr>
      <vt:lpstr>ts_</vt:lpstr>
      <vt:lpstr>Vmalla</vt:lpstr>
      <vt:lpstr>Vpaso</vt:lpstr>
      <vt:lpstr>W_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Rivera Rodriguez</dc:creator>
  <cp:lastModifiedBy>Luis Antonio Rivera Pinzon</cp:lastModifiedBy>
  <dcterms:created xsi:type="dcterms:W3CDTF">2018-10-23T13:12:07Z</dcterms:created>
  <dcterms:modified xsi:type="dcterms:W3CDTF">2019-09-12T23:32:12Z</dcterms:modified>
</cp:coreProperties>
</file>