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oncol\Proyectos\C_1350 (EPM)\Conductor economico\"/>
    </mc:Choice>
  </mc:AlternateContent>
  <xr:revisionPtr revIDLastSave="0" documentId="13_ncr:1_{AD17D527-5673-4ADC-B95E-95F0A1F0BEE6}" xr6:coauthVersionLast="41" xr6:coauthVersionMax="41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Costos" sheetId="9" state="hidden" r:id="rId1"/>
    <sheet name="Valores admisibles de entrada" sheetId="5" state="hidden" r:id="rId2"/>
    <sheet name="Conductor económico 120-240 V" sheetId="23" r:id="rId3"/>
    <sheet name="Conductor económico 7.62 kV" sheetId="22" r:id="rId4"/>
    <sheet name="Conductor económico 13.2 kV" sheetId="21" r:id="rId5"/>
    <sheet name="Conductor económico 44 kV" sheetId="20" r:id="rId6"/>
  </sheets>
  <definedNames>
    <definedName name="_xlnm._FilterDatabase" localSheetId="2" hidden="1">'Conductor económico 120-240 V'!$F$2:$L$13</definedName>
    <definedName name="_xlnm._FilterDatabase" localSheetId="4" hidden="1">'Conductor económico 13.2 kV'!$F$2:$L$13</definedName>
    <definedName name="_xlnm._FilterDatabase" localSheetId="5" hidden="1">'Conductor económico 44 kV'!$F$2:$L$13</definedName>
    <definedName name="_xlnm._FilterDatabase" localSheetId="3" hidden="1">'Conductor económico 7.62 kV'!$F$2:$L$13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2" l="1"/>
  <c r="C13" i="22"/>
  <c r="F22" i="22" s="1"/>
  <c r="F9" i="22" l="1"/>
  <c r="F8" i="22"/>
  <c r="F23" i="22"/>
  <c r="F16" i="22"/>
  <c r="F10" i="22"/>
  <c r="F17" i="22"/>
  <c r="F11" i="22"/>
  <c r="F18" i="22"/>
  <c r="F4" i="22"/>
  <c r="F12" i="22"/>
  <c r="F19" i="22"/>
  <c r="F5" i="22"/>
  <c r="F21" i="22"/>
  <c r="F20" i="22"/>
  <c r="F6" i="22"/>
  <c r="F13" i="22"/>
  <c r="F7" i="22"/>
  <c r="F14" i="22"/>
  <c r="G23" i="22"/>
  <c r="G28" i="20" l="1"/>
  <c r="G27" i="20"/>
  <c r="G26" i="20"/>
  <c r="G25" i="20"/>
  <c r="G24" i="20"/>
  <c r="G23" i="20"/>
  <c r="G17" i="21"/>
  <c r="G23" i="21"/>
  <c r="G22" i="21"/>
  <c r="G21" i="21"/>
  <c r="G20" i="21"/>
  <c r="G19" i="21"/>
  <c r="G18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4" i="23"/>
  <c r="G5" i="23"/>
  <c r="G23" i="23"/>
  <c r="C13" i="23" l="1"/>
  <c r="F20" i="23" l="1"/>
  <c r="F12" i="23"/>
  <c r="F4" i="23"/>
  <c r="F19" i="23"/>
  <c r="F11" i="23"/>
  <c r="F18" i="23"/>
  <c r="F10" i="23"/>
  <c r="F17" i="23"/>
  <c r="F9" i="23"/>
  <c r="F21" i="23"/>
  <c r="F13" i="23"/>
  <c r="F5" i="23"/>
  <c r="F16" i="23"/>
  <c r="F8" i="23"/>
  <c r="F23" i="23"/>
  <c r="F15" i="23"/>
  <c r="F7" i="23"/>
  <c r="F22" i="23"/>
  <c r="F14" i="23"/>
  <c r="F6" i="23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38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15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192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69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46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23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00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77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54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31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8" i="9"/>
  <c r="L11" i="23" l="1"/>
  <c r="K11" i="23"/>
  <c r="J11" i="23"/>
  <c r="I11" i="23"/>
  <c r="H11" i="23"/>
  <c r="J5" i="23"/>
  <c r="I5" i="23"/>
  <c r="H5" i="23"/>
  <c r="K5" i="23"/>
  <c r="L5" i="23"/>
  <c r="L4" i="23"/>
  <c r="K4" i="23"/>
  <c r="J4" i="23"/>
  <c r="I4" i="23"/>
  <c r="H4" i="23"/>
  <c r="L12" i="23"/>
  <c r="K12" i="23"/>
  <c r="J12" i="23"/>
  <c r="I12" i="23"/>
  <c r="H12" i="23"/>
  <c r="H7" i="23"/>
  <c r="L7" i="23"/>
  <c r="K7" i="23"/>
  <c r="J7" i="23"/>
  <c r="I7" i="23"/>
  <c r="L9" i="23"/>
  <c r="K9" i="23"/>
  <c r="J9" i="23"/>
  <c r="I9" i="23"/>
  <c r="H9" i="23"/>
  <c r="L20" i="23"/>
  <c r="K20" i="23"/>
  <c r="J20" i="23"/>
  <c r="I20" i="23"/>
  <c r="H20" i="23"/>
  <c r="H15" i="23"/>
  <c r="L15" i="23"/>
  <c r="K15" i="23"/>
  <c r="J15" i="23"/>
  <c r="I15" i="23"/>
  <c r="L17" i="23"/>
  <c r="K17" i="23"/>
  <c r="J17" i="23"/>
  <c r="I17" i="23"/>
  <c r="H17" i="23"/>
  <c r="H23" i="23"/>
  <c r="L23" i="23"/>
  <c r="K23" i="23"/>
  <c r="J23" i="23"/>
  <c r="I23" i="23"/>
  <c r="I10" i="23"/>
  <c r="H10" i="23"/>
  <c r="L10" i="23"/>
  <c r="K10" i="23"/>
  <c r="J10" i="23"/>
  <c r="K8" i="23"/>
  <c r="J8" i="23"/>
  <c r="I8" i="23"/>
  <c r="H8" i="23"/>
  <c r="L8" i="23"/>
  <c r="I18" i="23"/>
  <c r="H18" i="23"/>
  <c r="L18" i="23"/>
  <c r="K18" i="23"/>
  <c r="J18" i="23"/>
  <c r="K16" i="23"/>
  <c r="J16" i="23"/>
  <c r="I16" i="23"/>
  <c r="H16" i="23"/>
  <c r="L16" i="23"/>
  <c r="L6" i="23"/>
  <c r="K6" i="23"/>
  <c r="J6" i="23"/>
  <c r="I6" i="23"/>
  <c r="H6" i="23"/>
  <c r="L19" i="23"/>
  <c r="K19" i="23"/>
  <c r="J19" i="23"/>
  <c r="I19" i="23"/>
  <c r="H19" i="23"/>
  <c r="L14" i="23"/>
  <c r="K14" i="23"/>
  <c r="J14" i="23"/>
  <c r="I14" i="23"/>
  <c r="H14" i="23"/>
  <c r="J13" i="23"/>
  <c r="I13" i="23"/>
  <c r="H13" i="23"/>
  <c r="L13" i="23"/>
  <c r="K13" i="23"/>
  <c r="L22" i="23"/>
  <c r="K22" i="23"/>
  <c r="J22" i="23"/>
  <c r="I22" i="23"/>
  <c r="H22" i="23"/>
  <c r="J21" i="23"/>
  <c r="I21" i="23"/>
  <c r="H21" i="23"/>
  <c r="L21" i="23"/>
  <c r="K21" i="23"/>
  <c r="G22" i="20"/>
  <c r="G21" i="20"/>
  <c r="G20" i="20"/>
  <c r="G19" i="20"/>
  <c r="G18" i="20"/>
  <c r="G17" i="20"/>
  <c r="G16" i="20"/>
  <c r="G15" i="20"/>
  <c r="G14" i="20"/>
  <c r="G13" i="20" l="1"/>
  <c r="G12" i="20"/>
  <c r="G11" i="20"/>
  <c r="G10" i="20"/>
  <c r="G9" i="20"/>
  <c r="G8" i="20"/>
  <c r="G7" i="20"/>
  <c r="G6" i="20"/>
  <c r="G5" i="20"/>
  <c r="G4" i="20"/>
  <c r="C13" i="21"/>
  <c r="C13" i="20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38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15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192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69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46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23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00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77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54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31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8" i="9"/>
  <c r="B4" i="9"/>
  <c r="F9" i="9"/>
  <c r="H9" i="9" s="1"/>
  <c r="F10" i="9"/>
  <c r="H10" i="9" s="1"/>
  <c r="F11" i="9"/>
  <c r="H11" i="9" s="1"/>
  <c r="F12" i="9"/>
  <c r="H12" i="9" s="1"/>
  <c r="F13" i="9"/>
  <c r="H13" i="9" s="1"/>
  <c r="F14" i="9"/>
  <c r="H14" i="9" s="1"/>
  <c r="F15" i="9"/>
  <c r="H15" i="9" s="1"/>
  <c r="F16" i="9"/>
  <c r="H16" i="9" s="1"/>
  <c r="F17" i="9"/>
  <c r="H17" i="9" s="1"/>
  <c r="F18" i="9"/>
  <c r="H18" i="9" s="1"/>
  <c r="F19" i="9"/>
  <c r="H19" i="9" s="1"/>
  <c r="F20" i="9"/>
  <c r="H20" i="9" s="1"/>
  <c r="F21" i="9"/>
  <c r="H21" i="9" s="1"/>
  <c r="F22" i="9"/>
  <c r="H22" i="9" s="1"/>
  <c r="F23" i="9"/>
  <c r="H23" i="9" s="1"/>
  <c r="F24" i="9"/>
  <c r="H24" i="9" s="1"/>
  <c r="F25" i="9"/>
  <c r="H25" i="9" s="1"/>
  <c r="F26" i="9"/>
  <c r="H26" i="9" s="1"/>
  <c r="F27" i="9"/>
  <c r="H27" i="9" s="1"/>
  <c r="F28" i="9"/>
  <c r="H28" i="9" s="1"/>
  <c r="F29" i="9"/>
  <c r="H29" i="9" s="1"/>
  <c r="F30" i="9"/>
  <c r="H30" i="9" s="1"/>
  <c r="F31" i="9"/>
  <c r="H31" i="9" s="1"/>
  <c r="F32" i="9"/>
  <c r="H32" i="9" s="1"/>
  <c r="F33" i="9"/>
  <c r="H33" i="9" s="1"/>
  <c r="F34" i="9"/>
  <c r="H34" i="9" s="1"/>
  <c r="F35" i="9"/>
  <c r="H35" i="9" s="1"/>
  <c r="F36" i="9"/>
  <c r="H36" i="9" s="1"/>
  <c r="F37" i="9"/>
  <c r="H37" i="9" s="1"/>
  <c r="F38" i="9"/>
  <c r="H38" i="9" s="1"/>
  <c r="F39" i="9"/>
  <c r="H39" i="9" s="1"/>
  <c r="F40" i="9"/>
  <c r="H40" i="9" s="1"/>
  <c r="F41" i="9"/>
  <c r="H41" i="9" s="1"/>
  <c r="F42" i="9"/>
  <c r="H42" i="9" s="1"/>
  <c r="F43" i="9"/>
  <c r="H43" i="9" s="1"/>
  <c r="F44" i="9"/>
  <c r="H44" i="9" s="1"/>
  <c r="F45" i="9"/>
  <c r="H45" i="9" s="1"/>
  <c r="F46" i="9"/>
  <c r="H46" i="9" s="1"/>
  <c r="F47" i="9"/>
  <c r="H47" i="9" s="1"/>
  <c r="F48" i="9"/>
  <c r="H48" i="9" s="1"/>
  <c r="F49" i="9"/>
  <c r="H49" i="9" s="1"/>
  <c r="F50" i="9"/>
  <c r="H50" i="9" s="1"/>
  <c r="F51" i="9"/>
  <c r="H51" i="9" s="1"/>
  <c r="F52" i="9"/>
  <c r="H52" i="9" s="1"/>
  <c r="F53" i="9"/>
  <c r="H53" i="9" s="1"/>
  <c r="F54" i="9"/>
  <c r="H54" i="9" s="1"/>
  <c r="F55" i="9"/>
  <c r="H55" i="9" s="1"/>
  <c r="F56" i="9"/>
  <c r="H56" i="9" s="1"/>
  <c r="F57" i="9"/>
  <c r="H57" i="9" s="1"/>
  <c r="F58" i="9"/>
  <c r="H58" i="9" s="1"/>
  <c r="F59" i="9"/>
  <c r="H59" i="9" s="1"/>
  <c r="F60" i="9"/>
  <c r="H60" i="9" s="1"/>
  <c r="F61" i="9"/>
  <c r="H61" i="9" s="1"/>
  <c r="F62" i="9"/>
  <c r="H62" i="9" s="1"/>
  <c r="F63" i="9"/>
  <c r="H63" i="9" s="1"/>
  <c r="F64" i="9"/>
  <c r="H64" i="9" s="1"/>
  <c r="F65" i="9"/>
  <c r="H65" i="9" s="1"/>
  <c r="F66" i="9"/>
  <c r="H66" i="9" s="1"/>
  <c r="F67" i="9"/>
  <c r="H67" i="9" s="1"/>
  <c r="F68" i="9"/>
  <c r="H68" i="9" s="1"/>
  <c r="F69" i="9"/>
  <c r="H69" i="9" s="1"/>
  <c r="F70" i="9"/>
  <c r="H70" i="9" s="1"/>
  <c r="F71" i="9"/>
  <c r="H71" i="9" s="1"/>
  <c r="F72" i="9"/>
  <c r="H72" i="9" s="1"/>
  <c r="F73" i="9"/>
  <c r="H73" i="9" s="1"/>
  <c r="F74" i="9"/>
  <c r="H74" i="9" s="1"/>
  <c r="F75" i="9"/>
  <c r="H75" i="9" s="1"/>
  <c r="F76" i="9"/>
  <c r="H76" i="9" s="1"/>
  <c r="F77" i="9"/>
  <c r="H77" i="9" s="1"/>
  <c r="F78" i="9"/>
  <c r="H78" i="9" s="1"/>
  <c r="F79" i="9"/>
  <c r="H79" i="9" s="1"/>
  <c r="F80" i="9"/>
  <c r="H80" i="9" s="1"/>
  <c r="F81" i="9"/>
  <c r="H81" i="9" s="1"/>
  <c r="F82" i="9"/>
  <c r="H82" i="9" s="1"/>
  <c r="F83" i="9"/>
  <c r="H83" i="9" s="1"/>
  <c r="F84" i="9"/>
  <c r="H84" i="9" s="1"/>
  <c r="F85" i="9"/>
  <c r="H85" i="9" s="1"/>
  <c r="F86" i="9"/>
  <c r="H86" i="9" s="1"/>
  <c r="F87" i="9"/>
  <c r="H87" i="9" s="1"/>
  <c r="F88" i="9"/>
  <c r="H88" i="9" s="1"/>
  <c r="F89" i="9"/>
  <c r="H89" i="9" s="1"/>
  <c r="F90" i="9"/>
  <c r="H90" i="9" s="1"/>
  <c r="F91" i="9"/>
  <c r="H91" i="9" s="1"/>
  <c r="F92" i="9"/>
  <c r="H92" i="9" s="1"/>
  <c r="F93" i="9"/>
  <c r="H93" i="9" s="1"/>
  <c r="F94" i="9"/>
  <c r="H94" i="9" s="1"/>
  <c r="F95" i="9"/>
  <c r="H95" i="9" s="1"/>
  <c r="F96" i="9"/>
  <c r="H96" i="9" s="1"/>
  <c r="F97" i="9"/>
  <c r="H97" i="9" s="1"/>
  <c r="F98" i="9"/>
  <c r="H98" i="9" s="1"/>
  <c r="F99" i="9"/>
  <c r="H99" i="9" s="1"/>
  <c r="F100" i="9"/>
  <c r="H100" i="9" s="1"/>
  <c r="F101" i="9"/>
  <c r="H101" i="9" s="1"/>
  <c r="F102" i="9"/>
  <c r="H102" i="9" s="1"/>
  <c r="F103" i="9"/>
  <c r="H103" i="9" s="1"/>
  <c r="F104" i="9"/>
  <c r="H104" i="9" s="1"/>
  <c r="F105" i="9"/>
  <c r="H105" i="9" s="1"/>
  <c r="F106" i="9"/>
  <c r="H106" i="9" s="1"/>
  <c r="F107" i="9"/>
  <c r="H107" i="9" s="1"/>
  <c r="F108" i="9"/>
  <c r="H108" i="9" s="1"/>
  <c r="F109" i="9"/>
  <c r="H109" i="9" s="1"/>
  <c r="F110" i="9"/>
  <c r="H110" i="9" s="1"/>
  <c r="F111" i="9"/>
  <c r="H111" i="9" s="1"/>
  <c r="F112" i="9"/>
  <c r="H112" i="9" s="1"/>
  <c r="F113" i="9"/>
  <c r="H113" i="9" s="1"/>
  <c r="F114" i="9"/>
  <c r="H114" i="9" s="1"/>
  <c r="F115" i="9"/>
  <c r="H115" i="9" s="1"/>
  <c r="F116" i="9"/>
  <c r="H116" i="9" s="1"/>
  <c r="F117" i="9"/>
  <c r="H117" i="9" s="1"/>
  <c r="F118" i="9"/>
  <c r="H118" i="9" s="1"/>
  <c r="F119" i="9"/>
  <c r="H119" i="9" s="1"/>
  <c r="F120" i="9"/>
  <c r="H120" i="9" s="1"/>
  <c r="F121" i="9"/>
  <c r="H121" i="9" s="1"/>
  <c r="F122" i="9"/>
  <c r="H122" i="9" s="1"/>
  <c r="F123" i="9"/>
  <c r="H123" i="9" s="1"/>
  <c r="F124" i="9"/>
  <c r="H124" i="9" s="1"/>
  <c r="F125" i="9"/>
  <c r="H125" i="9" s="1"/>
  <c r="F126" i="9"/>
  <c r="H126" i="9" s="1"/>
  <c r="F127" i="9"/>
  <c r="H127" i="9" s="1"/>
  <c r="F128" i="9"/>
  <c r="H128" i="9" s="1"/>
  <c r="F129" i="9"/>
  <c r="H129" i="9" s="1"/>
  <c r="F130" i="9"/>
  <c r="H130" i="9" s="1"/>
  <c r="F131" i="9"/>
  <c r="H131" i="9" s="1"/>
  <c r="F132" i="9"/>
  <c r="H132" i="9" s="1"/>
  <c r="F133" i="9"/>
  <c r="H133" i="9" s="1"/>
  <c r="F134" i="9"/>
  <c r="H134" i="9" s="1"/>
  <c r="F135" i="9"/>
  <c r="H135" i="9" s="1"/>
  <c r="F136" i="9"/>
  <c r="H136" i="9" s="1"/>
  <c r="F137" i="9"/>
  <c r="H137" i="9" s="1"/>
  <c r="F138" i="9"/>
  <c r="H138" i="9" s="1"/>
  <c r="F139" i="9"/>
  <c r="H139" i="9" s="1"/>
  <c r="F140" i="9"/>
  <c r="H140" i="9" s="1"/>
  <c r="F141" i="9"/>
  <c r="H141" i="9" s="1"/>
  <c r="F142" i="9"/>
  <c r="H142" i="9" s="1"/>
  <c r="F143" i="9"/>
  <c r="H143" i="9" s="1"/>
  <c r="F144" i="9"/>
  <c r="H144" i="9" s="1"/>
  <c r="F145" i="9"/>
  <c r="H145" i="9" s="1"/>
  <c r="F146" i="9"/>
  <c r="H146" i="9" s="1"/>
  <c r="F147" i="9"/>
  <c r="H147" i="9" s="1"/>
  <c r="F148" i="9"/>
  <c r="H148" i="9" s="1"/>
  <c r="F149" i="9"/>
  <c r="H149" i="9" s="1"/>
  <c r="F150" i="9"/>
  <c r="H150" i="9" s="1"/>
  <c r="F151" i="9"/>
  <c r="H151" i="9" s="1"/>
  <c r="F152" i="9"/>
  <c r="H152" i="9" s="1"/>
  <c r="F153" i="9"/>
  <c r="H153" i="9" s="1"/>
  <c r="F154" i="9"/>
  <c r="H154" i="9" s="1"/>
  <c r="F155" i="9"/>
  <c r="H155" i="9" s="1"/>
  <c r="F156" i="9"/>
  <c r="H156" i="9" s="1"/>
  <c r="F157" i="9"/>
  <c r="H157" i="9" s="1"/>
  <c r="F158" i="9"/>
  <c r="H158" i="9" s="1"/>
  <c r="F159" i="9"/>
  <c r="H159" i="9" s="1"/>
  <c r="F160" i="9"/>
  <c r="H160" i="9" s="1"/>
  <c r="F161" i="9"/>
  <c r="H161" i="9" s="1"/>
  <c r="F162" i="9"/>
  <c r="H162" i="9" s="1"/>
  <c r="F163" i="9"/>
  <c r="H163" i="9" s="1"/>
  <c r="F164" i="9"/>
  <c r="H164" i="9" s="1"/>
  <c r="F165" i="9"/>
  <c r="H165" i="9" s="1"/>
  <c r="F166" i="9"/>
  <c r="H166" i="9" s="1"/>
  <c r="F167" i="9"/>
  <c r="H167" i="9" s="1"/>
  <c r="F168" i="9"/>
  <c r="H168" i="9" s="1"/>
  <c r="F169" i="9"/>
  <c r="H169" i="9" s="1"/>
  <c r="F170" i="9"/>
  <c r="H170" i="9" s="1"/>
  <c r="F171" i="9"/>
  <c r="H171" i="9" s="1"/>
  <c r="F172" i="9"/>
  <c r="H172" i="9" s="1"/>
  <c r="F173" i="9"/>
  <c r="H173" i="9" s="1"/>
  <c r="F174" i="9"/>
  <c r="H174" i="9" s="1"/>
  <c r="F175" i="9"/>
  <c r="H175" i="9" s="1"/>
  <c r="F176" i="9"/>
  <c r="H176" i="9" s="1"/>
  <c r="F177" i="9"/>
  <c r="H177" i="9" s="1"/>
  <c r="F178" i="9"/>
  <c r="H178" i="9" s="1"/>
  <c r="F179" i="9"/>
  <c r="H179" i="9" s="1"/>
  <c r="F180" i="9"/>
  <c r="H180" i="9" s="1"/>
  <c r="F181" i="9"/>
  <c r="H181" i="9" s="1"/>
  <c r="F182" i="9"/>
  <c r="H182" i="9" s="1"/>
  <c r="F183" i="9"/>
  <c r="H183" i="9" s="1"/>
  <c r="F184" i="9"/>
  <c r="H184" i="9" s="1"/>
  <c r="F185" i="9"/>
  <c r="H185" i="9" s="1"/>
  <c r="F186" i="9"/>
  <c r="H186" i="9" s="1"/>
  <c r="F187" i="9"/>
  <c r="H187" i="9" s="1"/>
  <c r="F188" i="9"/>
  <c r="H188" i="9" s="1"/>
  <c r="F189" i="9"/>
  <c r="H189" i="9" s="1"/>
  <c r="F190" i="9"/>
  <c r="H190" i="9" s="1"/>
  <c r="F191" i="9"/>
  <c r="H191" i="9" s="1"/>
  <c r="F192" i="9"/>
  <c r="H192" i="9" s="1"/>
  <c r="F193" i="9"/>
  <c r="H193" i="9" s="1"/>
  <c r="F194" i="9"/>
  <c r="H194" i="9" s="1"/>
  <c r="F195" i="9"/>
  <c r="H195" i="9" s="1"/>
  <c r="F196" i="9"/>
  <c r="H196" i="9" s="1"/>
  <c r="F197" i="9"/>
  <c r="H197" i="9" s="1"/>
  <c r="F198" i="9"/>
  <c r="H198" i="9" s="1"/>
  <c r="F199" i="9"/>
  <c r="H199" i="9" s="1"/>
  <c r="F200" i="9"/>
  <c r="H200" i="9" s="1"/>
  <c r="F201" i="9"/>
  <c r="H201" i="9" s="1"/>
  <c r="F202" i="9"/>
  <c r="H202" i="9" s="1"/>
  <c r="F203" i="9"/>
  <c r="H203" i="9" s="1"/>
  <c r="F204" i="9"/>
  <c r="H204" i="9" s="1"/>
  <c r="F205" i="9"/>
  <c r="H205" i="9" s="1"/>
  <c r="F206" i="9"/>
  <c r="H206" i="9" s="1"/>
  <c r="F207" i="9"/>
  <c r="H207" i="9" s="1"/>
  <c r="F208" i="9"/>
  <c r="H208" i="9" s="1"/>
  <c r="F209" i="9"/>
  <c r="H209" i="9" s="1"/>
  <c r="F210" i="9"/>
  <c r="H210" i="9" s="1"/>
  <c r="F211" i="9"/>
  <c r="H211" i="9" s="1"/>
  <c r="F212" i="9"/>
  <c r="H212" i="9" s="1"/>
  <c r="F213" i="9"/>
  <c r="H213" i="9" s="1"/>
  <c r="F214" i="9"/>
  <c r="H214" i="9" s="1"/>
  <c r="F215" i="9"/>
  <c r="H215" i="9" s="1"/>
  <c r="F216" i="9"/>
  <c r="H216" i="9" s="1"/>
  <c r="F217" i="9"/>
  <c r="H217" i="9" s="1"/>
  <c r="F218" i="9"/>
  <c r="H218" i="9" s="1"/>
  <c r="F219" i="9"/>
  <c r="H219" i="9" s="1"/>
  <c r="F220" i="9"/>
  <c r="H220" i="9" s="1"/>
  <c r="F221" i="9"/>
  <c r="H221" i="9" s="1"/>
  <c r="F222" i="9"/>
  <c r="H222" i="9" s="1"/>
  <c r="F223" i="9"/>
  <c r="H223" i="9" s="1"/>
  <c r="F224" i="9"/>
  <c r="H224" i="9" s="1"/>
  <c r="F225" i="9"/>
  <c r="H225" i="9" s="1"/>
  <c r="F226" i="9"/>
  <c r="H226" i="9" s="1"/>
  <c r="F227" i="9"/>
  <c r="H227" i="9" s="1"/>
  <c r="F228" i="9"/>
  <c r="H228" i="9" s="1"/>
  <c r="F229" i="9"/>
  <c r="H229" i="9" s="1"/>
  <c r="F230" i="9"/>
  <c r="H230" i="9" s="1"/>
  <c r="F231" i="9"/>
  <c r="H231" i="9" s="1"/>
  <c r="F232" i="9"/>
  <c r="H232" i="9" s="1"/>
  <c r="F233" i="9"/>
  <c r="H233" i="9" s="1"/>
  <c r="F234" i="9"/>
  <c r="H234" i="9" s="1"/>
  <c r="F235" i="9"/>
  <c r="H235" i="9" s="1"/>
  <c r="F236" i="9"/>
  <c r="H236" i="9" s="1"/>
  <c r="F237" i="9"/>
  <c r="H237" i="9" s="1"/>
  <c r="F238" i="9"/>
  <c r="H238" i="9" s="1"/>
  <c r="F239" i="9"/>
  <c r="H239" i="9" s="1"/>
  <c r="F240" i="9"/>
  <c r="H240" i="9" s="1"/>
  <c r="F241" i="9"/>
  <c r="H241" i="9" s="1"/>
  <c r="F242" i="9"/>
  <c r="H242" i="9" s="1"/>
  <c r="F243" i="9"/>
  <c r="H243" i="9" s="1"/>
  <c r="F244" i="9"/>
  <c r="H244" i="9" s="1"/>
  <c r="F245" i="9"/>
  <c r="H245" i="9" s="1"/>
  <c r="F246" i="9"/>
  <c r="H246" i="9" s="1"/>
  <c r="F247" i="9"/>
  <c r="H247" i="9" s="1"/>
  <c r="F248" i="9"/>
  <c r="H248" i="9" s="1"/>
  <c r="F249" i="9"/>
  <c r="H249" i="9" s="1"/>
  <c r="F250" i="9"/>
  <c r="H250" i="9" s="1"/>
  <c r="F251" i="9"/>
  <c r="H251" i="9" s="1"/>
  <c r="F252" i="9"/>
  <c r="H252" i="9" s="1"/>
  <c r="F253" i="9"/>
  <c r="H253" i="9" s="1"/>
  <c r="F254" i="9"/>
  <c r="H254" i="9" s="1"/>
  <c r="F255" i="9"/>
  <c r="H255" i="9" s="1"/>
  <c r="F256" i="9"/>
  <c r="H256" i="9" s="1"/>
  <c r="F257" i="9"/>
  <c r="H257" i="9" s="1"/>
  <c r="F258" i="9"/>
  <c r="H258" i="9" s="1"/>
  <c r="F259" i="9"/>
  <c r="H259" i="9" s="1"/>
  <c r="F260" i="9"/>
  <c r="H260" i="9" s="1"/>
  <c r="F8" i="9"/>
  <c r="I11" i="22" l="1"/>
  <c r="H11" i="22"/>
  <c r="L11" i="22"/>
  <c r="K11" i="22"/>
  <c r="J11" i="22"/>
  <c r="K17" i="22"/>
  <c r="J17" i="22"/>
  <c r="H17" i="22"/>
  <c r="L17" i="22"/>
  <c r="I17" i="22"/>
  <c r="J6" i="22"/>
  <c r="I6" i="22"/>
  <c r="H6" i="22"/>
  <c r="L6" i="22"/>
  <c r="K6" i="22"/>
  <c r="L20" i="22"/>
  <c r="K20" i="22"/>
  <c r="I20" i="22"/>
  <c r="H20" i="22"/>
  <c r="J20" i="22"/>
  <c r="L15" i="22"/>
  <c r="J15" i="22"/>
  <c r="I15" i="22"/>
  <c r="K15" i="22"/>
  <c r="H15" i="22"/>
  <c r="J22" i="22"/>
  <c r="I22" i="22"/>
  <c r="H22" i="22"/>
  <c r="L22" i="22"/>
  <c r="K22" i="22"/>
  <c r="L5" i="22"/>
  <c r="K5" i="22"/>
  <c r="J5" i="22"/>
  <c r="I5" i="22"/>
  <c r="H5" i="22"/>
  <c r="F27" i="20"/>
  <c r="F26" i="20"/>
  <c r="F25" i="20"/>
  <c r="F24" i="20"/>
  <c r="F28" i="20"/>
  <c r="K9" i="22"/>
  <c r="J9" i="22"/>
  <c r="H9" i="22"/>
  <c r="I9" i="22"/>
  <c r="L9" i="22"/>
  <c r="L12" i="22"/>
  <c r="K12" i="22"/>
  <c r="I12" i="22"/>
  <c r="H12" i="22"/>
  <c r="J12" i="22"/>
  <c r="L7" i="22"/>
  <c r="J7" i="22"/>
  <c r="I7" i="22"/>
  <c r="K7" i="22"/>
  <c r="H7" i="22"/>
  <c r="L23" i="22"/>
  <c r="J23" i="22"/>
  <c r="I23" i="22"/>
  <c r="H23" i="22"/>
  <c r="K23" i="22"/>
  <c r="K10" i="22"/>
  <c r="J10" i="22"/>
  <c r="I10" i="22"/>
  <c r="H10" i="22"/>
  <c r="L10" i="22"/>
  <c r="L13" i="22"/>
  <c r="K13" i="22"/>
  <c r="J13" i="22"/>
  <c r="I13" i="22"/>
  <c r="H13" i="22"/>
  <c r="H16" i="22"/>
  <c r="L16" i="22"/>
  <c r="K16" i="22"/>
  <c r="J16" i="22"/>
  <c r="I16" i="22"/>
  <c r="I19" i="22"/>
  <c r="H19" i="22"/>
  <c r="L19" i="22"/>
  <c r="K19" i="22"/>
  <c r="J19" i="22"/>
  <c r="L4" i="22"/>
  <c r="K4" i="22"/>
  <c r="I4" i="22"/>
  <c r="H4" i="22"/>
  <c r="J4" i="22"/>
  <c r="J14" i="22"/>
  <c r="I14" i="22"/>
  <c r="L14" i="22"/>
  <c r="K14" i="22"/>
  <c r="H14" i="22"/>
  <c r="H8" i="22"/>
  <c r="L8" i="22"/>
  <c r="K8" i="22"/>
  <c r="J8" i="22"/>
  <c r="I8" i="22"/>
  <c r="K18" i="22"/>
  <c r="J18" i="22"/>
  <c r="L18" i="22"/>
  <c r="I18" i="22"/>
  <c r="H18" i="22"/>
  <c r="L21" i="22"/>
  <c r="K21" i="22"/>
  <c r="J21" i="22"/>
  <c r="I21" i="22"/>
  <c r="H21" i="22"/>
  <c r="F20" i="21"/>
  <c r="F12" i="21"/>
  <c r="F4" i="21"/>
  <c r="F19" i="21"/>
  <c r="F11" i="21"/>
  <c r="F6" i="21"/>
  <c r="F18" i="21"/>
  <c r="F10" i="21"/>
  <c r="F17" i="21"/>
  <c r="F9" i="21"/>
  <c r="F23" i="21"/>
  <c r="F16" i="21"/>
  <c r="F15" i="21"/>
  <c r="F14" i="21"/>
  <c r="F21" i="21"/>
  <c r="F13" i="21"/>
  <c r="F8" i="21"/>
  <c r="F7" i="21"/>
  <c r="F22" i="21"/>
  <c r="F5" i="21"/>
  <c r="F7" i="20"/>
  <c r="F15" i="20"/>
  <c r="F17" i="20"/>
  <c r="F16" i="20"/>
  <c r="F23" i="20"/>
  <c r="F22" i="20"/>
  <c r="F14" i="20"/>
  <c r="F21" i="20"/>
  <c r="F20" i="20"/>
  <c r="F19" i="20"/>
  <c r="F18" i="20"/>
  <c r="F10" i="20"/>
  <c r="F4" i="20"/>
  <c r="F5" i="20"/>
  <c r="F8" i="20"/>
  <c r="F9" i="20"/>
  <c r="F11" i="20"/>
  <c r="F12" i="20"/>
  <c r="F13" i="20"/>
  <c r="F6" i="20"/>
  <c r="B2" i="9"/>
  <c r="B3" i="9" s="1"/>
  <c r="B5" i="9" s="1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38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15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192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69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46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23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00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77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54" i="9"/>
  <c r="C48" i="9"/>
  <c r="C49" i="9"/>
  <c r="C50" i="9"/>
  <c r="C51" i="9"/>
  <c r="C52" i="9"/>
  <c r="C53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31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8" i="9"/>
  <c r="D31" i="9"/>
  <c r="J31" i="9" s="1"/>
  <c r="E31" i="9"/>
  <c r="D32" i="9"/>
  <c r="E32" i="9"/>
  <c r="D33" i="9"/>
  <c r="E33" i="9"/>
  <c r="D34" i="9"/>
  <c r="J34" i="9" s="1"/>
  <c r="E34" i="9"/>
  <c r="D35" i="9"/>
  <c r="E35" i="9"/>
  <c r="D36" i="9"/>
  <c r="E36" i="9"/>
  <c r="D37" i="9"/>
  <c r="E37" i="9"/>
  <c r="D38" i="9"/>
  <c r="E38" i="9"/>
  <c r="D39" i="9"/>
  <c r="J39" i="9" s="1"/>
  <c r="E39" i="9"/>
  <c r="D40" i="9"/>
  <c r="E40" i="9"/>
  <c r="D41" i="9"/>
  <c r="E41" i="9"/>
  <c r="D42" i="9"/>
  <c r="E42" i="9"/>
  <c r="D43" i="9"/>
  <c r="J43" i="9" s="1"/>
  <c r="E43" i="9"/>
  <c r="D44" i="9"/>
  <c r="E44" i="9"/>
  <c r="D45" i="9"/>
  <c r="E45" i="9"/>
  <c r="D46" i="9"/>
  <c r="J46" i="9" s="1"/>
  <c r="E46" i="9"/>
  <c r="D47" i="9"/>
  <c r="E47" i="9"/>
  <c r="D48" i="9"/>
  <c r="E48" i="9"/>
  <c r="D49" i="9"/>
  <c r="E49" i="9"/>
  <c r="D50" i="9"/>
  <c r="E50" i="9"/>
  <c r="D51" i="9"/>
  <c r="J51" i="9" s="1"/>
  <c r="E51" i="9"/>
  <c r="D52" i="9"/>
  <c r="E52" i="9"/>
  <c r="D53" i="9"/>
  <c r="E53" i="9"/>
  <c r="D54" i="9"/>
  <c r="J54" i="9" s="1"/>
  <c r="E54" i="9"/>
  <c r="D55" i="9"/>
  <c r="J55" i="9" s="1"/>
  <c r="E55" i="9"/>
  <c r="D56" i="9"/>
  <c r="E56" i="9"/>
  <c r="D57" i="9"/>
  <c r="E57" i="9"/>
  <c r="D58" i="9"/>
  <c r="E58" i="9"/>
  <c r="D59" i="9"/>
  <c r="E59" i="9"/>
  <c r="D60" i="9"/>
  <c r="E60" i="9"/>
  <c r="D61" i="9"/>
  <c r="E61" i="9"/>
  <c r="D62" i="9"/>
  <c r="J62" i="9" s="1"/>
  <c r="E62" i="9"/>
  <c r="D63" i="9"/>
  <c r="E63" i="9"/>
  <c r="D64" i="9"/>
  <c r="E64" i="9"/>
  <c r="D65" i="9"/>
  <c r="E65" i="9"/>
  <c r="D66" i="9"/>
  <c r="E66" i="9"/>
  <c r="D67" i="9"/>
  <c r="J67" i="9" s="1"/>
  <c r="E67" i="9"/>
  <c r="D68" i="9"/>
  <c r="E68" i="9"/>
  <c r="D69" i="9"/>
  <c r="E69" i="9"/>
  <c r="D70" i="9"/>
  <c r="E70" i="9"/>
  <c r="D71" i="9"/>
  <c r="J71" i="9" s="1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J79" i="9" s="1"/>
  <c r="E79" i="9"/>
  <c r="D80" i="9"/>
  <c r="E80" i="9"/>
  <c r="D81" i="9"/>
  <c r="E81" i="9"/>
  <c r="D82" i="9"/>
  <c r="J82" i="9" s="1"/>
  <c r="E82" i="9"/>
  <c r="D83" i="9"/>
  <c r="J83" i="9" s="1"/>
  <c r="E83" i="9"/>
  <c r="D84" i="9"/>
  <c r="E84" i="9"/>
  <c r="D85" i="9"/>
  <c r="E85" i="9"/>
  <c r="D86" i="9"/>
  <c r="J86" i="9" s="1"/>
  <c r="E86" i="9"/>
  <c r="D87" i="9"/>
  <c r="E87" i="9"/>
  <c r="D88" i="9"/>
  <c r="E88" i="9"/>
  <c r="D89" i="9"/>
  <c r="E89" i="9"/>
  <c r="D90" i="9"/>
  <c r="E90" i="9"/>
  <c r="D91" i="9"/>
  <c r="J91" i="9" s="1"/>
  <c r="E91" i="9"/>
  <c r="D92" i="9"/>
  <c r="E92" i="9"/>
  <c r="D93" i="9"/>
  <c r="E93" i="9"/>
  <c r="D94" i="9"/>
  <c r="E94" i="9"/>
  <c r="D95" i="9"/>
  <c r="J95" i="9" s="1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J103" i="9" s="1"/>
  <c r="E103" i="9"/>
  <c r="D104" i="9"/>
  <c r="E104" i="9"/>
  <c r="D105" i="9"/>
  <c r="E105" i="9"/>
  <c r="D106" i="9"/>
  <c r="J106" i="9" s="1"/>
  <c r="E106" i="9"/>
  <c r="D107" i="9"/>
  <c r="J107" i="9" s="1"/>
  <c r="E107" i="9"/>
  <c r="D108" i="9"/>
  <c r="E108" i="9"/>
  <c r="D109" i="9"/>
  <c r="E109" i="9"/>
  <c r="D110" i="9"/>
  <c r="J110" i="9" s="1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D118" i="9"/>
  <c r="E118" i="9"/>
  <c r="D119" i="9"/>
  <c r="E119" i="9"/>
  <c r="D120" i="9"/>
  <c r="E120" i="9"/>
  <c r="D121" i="9"/>
  <c r="E121" i="9"/>
  <c r="D122" i="9"/>
  <c r="J122" i="9" s="1"/>
  <c r="E122" i="9"/>
  <c r="D123" i="9"/>
  <c r="J123" i="9" s="1"/>
  <c r="E123" i="9"/>
  <c r="D124" i="9"/>
  <c r="E124" i="9"/>
  <c r="D125" i="9"/>
  <c r="E125" i="9"/>
  <c r="D126" i="9"/>
  <c r="E126" i="9"/>
  <c r="D127" i="9"/>
  <c r="E127" i="9"/>
  <c r="D128" i="9"/>
  <c r="J128" i="9" s="1"/>
  <c r="E128" i="9"/>
  <c r="D129" i="9"/>
  <c r="E129" i="9"/>
  <c r="D130" i="9"/>
  <c r="J130" i="9" s="1"/>
  <c r="E130" i="9"/>
  <c r="D131" i="9"/>
  <c r="J131" i="9" s="1"/>
  <c r="E131" i="9"/>
  <c r="D132" i="9"/>
  <c r="E132" i="9"/>
  <c r="D133" i="9"/>
  <c r="E133" i="9"/>
  <c r="D134" i="9"/>
  <c r="E134" i="9"/>
  <c r="D135" i="9"/>
  <c r="J135" i="9" s="1"/>
  <c r="E135" i="9"/>
  <c r="D136" i="9"/>
  <c r="J136" i="9" s="1"/>
  <c r="E136" i="9"/>
  <c r="D137" i="9"/>
  <c r="E137" i="9"/>
  <c r="D138" i="9"/>
  <c r="J138" i="9" s="1"/>
  <c r="E138" i="9"/>
  <c r="D139" i="9"/>
  <c r="E139" i="9"/>
  <c r="D140" i="9"/>
  <c r="E140" i="9"/>
  <c r="D141" i="9"/>
  <c r="E141" i="9"/>
  <c r="D142" i="9"/>
  <c r="E142" i="9"/>
  <c r="D143" i="9"/>
  <c r="J143" i="9" s="1"/>
  <c r="E143" i="9"/>
  <c r="D144" i="9"/>
  <c r="E144" i="9"/>
  <c r="D145" i="9"/>
  <c r="E145" i="9"/>
  <c r="D146" i="9"/>
  <c r="J146" i="9" s="1"/>
  <c r="E146" i="9"/>
  <c r="D147" i="9"/>
  <c r="J147" i="9" s="1"/>
  <c r="E147" i="9"/>
  <c r="D148" i="9"/>
  <c r="E148" i="9"/>
  <c r="D149" i="9"/>
  <c r="E149" i="9"/>
  <c r="D150" i="9"/>
  <c r="J150" i="9" s="1"/>
  <c r="E150" i="9"/>
  <c r="D151" i="9"/>
  <c r="E151" i="9"/>
  <c r="D152" i="9"/>
  <c r="E152" i="9"/>
  <c r="D153" i="9"/>
  <c r="E153" i="9"/>
  <c r="D154" i="9"/>
  <c r="E154" i="9"/>
  <c r="D155" i="9"/>
  <c r="J155" i="9" s="1"/>
  <c r="E155" i="9"/>
  <c r="D156" i="9"/>
  <c r="J156" i="9" s="1"/>
  <c r="E156" i="9"/>
  <c r="D157" i="9"/>
  <c r="E157" i="9"/>
  <c r="D158" i="9"/>
  <c r="J158" i="9" s="1"/>
  <c r="E158" i="9"/>
  <c r="D159" i="9"/>
  <c r="J159" i="9" s="1"/>
  <c r="E159" i="9"/>
  <c r="D160" i="9"/>
  <c r="E160" i="9"/>
  <c r="D161" i="9"/>
  <c r="E161" i="9"/>
  <c r="D162" i="9"/>
  <c r="E162" i="9"/>
  <c r="D163" i="9"/>
  <c r="E163" i="9"/>
  <c r="D164" i="9"/>
  <c r="E164" i="9"/>
  <c r="D165" i="9"/>
  <c r="E165" i="9"/>
  <c r="D166" i="9"/>
  <c r="E166" i="9"/>
  <c r="D167" i="9"/>
  <c r="J167" i="9" s="1"/>
  <c r="E167" i="9"/>
  <c r="D168" i="9"/>
  <c r="E168" i="9"/>
  <c r="D169" i="9"/>
  <c r="J169" i="9" s="1"/>
  <c r="E169" i="9"/>
  <c r="D170" i="9"/>
  <c r="E170" i="9"/>
  <c r="D171" i="9"/>
  <c r="J171" i="9" s="1"/>
  <c r="E171" i="9"/>
  <c r="D172" i="9"/>
  <c r="J172" i="9" s="1"/>
  <c r="E172" i="9"/>
  <c r="D173" i="9"/>
  <c r="E173" i="9"/>
  <c r="D174" i="9"/>
  <c r="J174" i="9" s="1"/>
  <c r="E174" i="9"/>
  <c r="D175" i="9"/>
  <c r="E175" i="9"/>
  <c r="D176" i="9"/>
  <c r="E176" i="9"/>
  <c r="D177" i="9"/>
  <c r="E177" i="9"/>
  <c r="D178" i="9"/>
  <c r="E178" i="9"/>
  <c r="D179" i="9"/>
  <c r="J179" i="9" s="1"/>
  <c r="E179" i="9"/>
  <c r="D180" i="9"/>
  <c r="E180" i="9"/>
  <c r="D181" i="9"/>
  <c r="E181" i="9"/>
  <c r="D182" i="9"/>
  <c r="E182" i="9"/>
  <c r="D183" i="9"/>
  <c r="J183" i="9" s="1"/>
  <c r="E183" i="9"/>
  <c r="D184" i="9"/>
  <c r="E184" i="9"/>
  <c r="D185" i="9"/>
  <c r="E185" i="9"/>
  <c r="D186" i="9"/>
  <c r="J186" i="9" s="1"/>
  <c r="E186" i="9"/>
  <c r="D187" i="9"/>
  <c r="E187" i="9"/>
  <c r="D188" i="9"/>
  <c r="E188" i="9"/>
  <c r="D189" i="9"/>
  <c r="E189" i="9"/>
  <c r="D190" i="9"/>
  <c r="J190" i="9" s="1"/>
  <c r="E190" i="9"/>
  <c r="D191" i="9"/>
  <c r="E191" i="9"/>
  <c r="D192" i="9"/>
  <c r="E192" i="9"/>
  <c r="D193" i="9"/>
  <c r="J193" i="9" s="1"/>
  <c r="E193" i="9"/>
  <c r="D194" i="9"/>
  <c r="J194" i="9" s="1"/>
  <c r="E194" i="9"/>
  <c r="D195" i="9"/>
  <c r="J195" i="9" s="1"/>
  <c r="E195" i="9"/>
  <c r="D196" i="9"/>
  <c r="E196" i="9"/>
  <c r="D197" i="9"/>
  <c r="J197" i="9" s="1"/>
  <c r="E197" i="9"/>
  <c r="D198" i="9"/>
  <c r="J198" i="9" s="1"/>
  <c r="E198" i="9"/>
  <c r="D199" i="9"/>
  <c r="J199" i="9" s="1"/>
  <c r="E199" i="9"/>
  <c r="D200" i="9"/>
  <c r="E200" i="9"/>
  <c r="D201" i="9"/>
  <c r="J201" i="9" s="1"/>
  <c r="E201" i="9"/>
  <c r="D202" i="9"/>
  <c r="J202" i="9" s="1"/>
  <c r="E202" i="9"/>
  <c r="D203" i="9"/>
  <c r="J203" i="9" s="1"/>
  <c r="E203" i="9"/>
  <c r="D204" i="9"/>
  <c r="E204" i="9"/>
  <c r="D205" i="9"/>
  <c r="J205" i="9" s="1"/>
  <c r="E205" i="9"/>
  <c r="D206" i="9"/>
  <c r="J206" i="9" s="1"/>
  <c r="E206" i="9"/>
  <c r="D207" i="9"/>
  <c r="E207" i="9"/>
  <c r="D208" i="9"/>
  <c r="E208" i="9"/>
  <c r="D209" i="9"/>
  <c r="J209" i="9" s="1"/>
  <c r="E209" i="9"/>
  <c r="D210" i="9"/>
  <c r="J210" i="9" s="1"/>
  <c r="E210" i="9"/>
  <c r="D211" i="9"/>
  <c r="J211" i="9" s="1"/>
  <c r="E211" i="9"/>
  <c r="D212" i="9"/>
  <c r="E212" i="9"/>
  <c r="D213" i="9"/>
  <c r="J213" i="9" s="1"/>
  <c r="E213" i="9"/>
  <c r="D214" i="9"/>
  <c r="J214" i="9" s="1"/>
  <c r="E214" i="9"/>
  <c r="D215" i="9"/>
  <c r="J215" i="9" s="1"/>
  <c r="E215" i="9"/>
  <c r="D216" i="9"/>
  <c r="E216" i="9"/>
  <c r="D217" i="9"/>
  <c r="J217" i="9" s="1"/>
  <c r="E217" i="9"/>
  <c r="D218" i="9"/>
  <c r="J218" i="9" s="1"/>
  <c r="E218" i="9"/>
  <c r="D219" i="9"/>
  <c r="J219" i="9" s="1"/>
  <c r="E219" i="9"/>
  <c r="D220" i="9"/>
  <c r="E220" i="9"/>
  <c r="D221" i="9"/>
  <c r="J221" i="9" s="1"/>
  <c r="E221" i="9"/>
  <c r="D222" i="9"/>
  <c r="J222" i="9" s="1"/>
  <c r="E222" i="9"/>
  <c r="D223" i="9"/>
  <c r="J223" i="9" s="1"/>
  <c r="E223" i="9"/>
  <c r="D224" i="9"/>
  <c r="E224" i="9"/>
  <c r="D225" i="9"/>
  <c r="J225" i="9" s="1"/>
  <c r="E225" i="9"/>
  <c r="D226" i="9"/>
  <c r="J226" i="9" s="1"/>
  <c r="E226" i="9"/>
  <c r="D227" i="9"/>
  <c r="J227" i="9" s="1"/>
  <c r="E227" i="9"/>
  <c r="D228" i="9"/>
  <c r="E228" i="9"/>
  <c r="D229" i="9"/>
  <c r="J229" i="9" s="1"/>
  <c r="E229" i="9"/>
  <c r="D230" i="9"/>
  <c r="J230" i="9" s="1"/>
  <c r="E230" i="9"/>
  <c r="D231" i="9"/>
  <c r="J231" i="9" s="1"/>
  <c r="E231" i="9"/>
  <c r="D232" i="9"/>
  <c r="E232" i="9"/>
  <c r="D233" i="9"/>
  <c r="J233" i="9" s="1"/>
  <c r="E233" i="9"/>
  <c r="D234" i="9"/>
  <c r="J234" i="9" s="1"/>
  <c r="E234" i="9"/>
  <c r="D235" i="9"/>
  <c r="J235" i="9" s="1"/>
  <c r="E235" i="9"/>
  <c r="D236" i="9"/>
  <c r="E236" i="9"/>
  <c r="D237" i="9"/>
  <c r="J237" i="9" s="1"/>
  <c r="E237" i="9"/>
  <c r="D238" i="9"/>
  <c r="J238" i="9" s="1"/>
  <c r="E238" i="9"/>
  <c r="D239" i="9"/>
  <c r="E239" i="9"/>
  <c r="D240" i="9"/>
  <c r="E240" i="9"/>
  <c r="D241" i="9"/>
  <c r="E241" i="9"/>
  <c r="D242" i="9"/>
  <c r="J242" i="9" s="1"/>
  <c r="E242" i="9"/>
  <c r="D243" i="9"/>
  <c r="J243" i="9" s="1"/>
  <c r="E243" i="9"/>
  <c r="D244" i="9"/>
  <c r="E244" i="9"/>
  <c r="D245" i="9"/>
  <c r="E245" i="9"/>
  <c r="D246" i="9"/>
  <c r="E246" i="9"/>
  <c r="D247" i="9"/>
  <c r="J247" i="9" s="1"/>
  <c r="E247" i="9"/>
  <c r="D248" i="9"/>
  <c r="E248" i="9"/>
  <c r="D249" i="9"/>
  <c r="E249" i="9"/>
  <c r="D250" i="9"/>
  <c r="E250" i="9"/>
  <c r="D251" i="9"/>
  <c r="E251" i="9"/>
  <c r="D252" i="9"/>
  <c r="E252" i="9"/>
  <c r="D253" i="9"/>
  <c r="E253" i="9"/>
  <c r="D254" i="9"/>
  <c r="E254" i="9"/>
  <c r="D255" i="9"/>
  <c r="E255" i="9"/>
  <c r="D256" i="9"/>
  <c r="E256" i="9"/>
  <c r="D257" i="9"/>
  <c r="E257" i="9"/>
  <c r="D258" i="9"/>
  <c r="E258" i="9"/>
  <c r="D259" i="9"/>
  <c r="J259" i="9" s="1"/>
  <c r="E259" i="9"/>
  <c r="D260" i="9"/>
  <c r="E260" i="9"/>
  <c r="K18" i="20" l="1"/>
  <c r="J18" i="20"/>
  <c r="L18" i="20"/>
  <c r="I18" i="20"/>
  <c r="H18" i="20"/>
  <c r="L12" i="20"/>
  <c r="K12" i="20"/>
  <c r="I12" i="20"/>
  <c r="H12" i="20"/>
  <c r="J12" i="20"/>
  <c r="K14" i="21"/>
  <c r="J14" i="21"/>
  <c r="L14" i="21"/>
  <c r="I14" i="21"/>
  <c r="H14" i="21"/>
  <c r="L20" i="20"/>
  <c r="K20" i="20"/>
  <c r="I20" i="20"/>
  <c r="H20" i="20"/>
  <c r="J20" i="20"/>
  <c r="I15" i="21"/>
  <c r="H15" i="21"/>
  <c r="L15" i="21"/>
  <c r="K15" i="21"/>
  <c r="J15" i="21"/>
  <c r="K25" i="20"/>
  <c r="J25" i="20"/>
  <c r="H25" i="20"/>
  <c r="L25" i="20"/>
  <c r="I25" i="20"/>
  <c r="L21" i="20"/>
  <c r="K21" i="20"/>
  <c r="J21" i="20"/>
  <c r="I21" i="20"/>
  <c r="H21" i="20"/>
  <c r="L16" i="21"/>
  <c r="K16" i="21"/>
  <c r="I16" i="21"/>
  <c r="H16" i="21"/>
  <c r="J16" i="21"/>
  <c r="L19" i="21"/>
  <c r="J19" i="21"/>
  <c r="I19" i="21"/>
  <c r="K19" i="21"/>
  <c r="H19" i="21"/>
  <c r="H8" i="20"/>
  <c r="L8" i="20"/>
  <c r="K8" i="20"/>
  <c r="J8" i="20"/>
  <c r="I8" i="20"/>
  <c r="J14" i="20"/>
  <c r="I14" i="20"/>
  <c r="H14" i="20"/>
  <c r="L14" i="20"/>
  <c r="K14" i="20"/>
  <c r="K22" i="21"/>
  <c r="J22" i="21"/>
  <c r="I22" i="21"/>
  <c r="H22" i="21"/>
  <c r="L22" i="21"/>
  <c r="I23" i="21"/>
  <c r="H23" i="21"/>
  <c r="L23" i="21"/>
  <c r="K23" i="21"/>
  <c r="J23" i="21"/>
  <c r="H4" i="21"/>
  <c r="L4" i="21"/>
  <c r="K4" i="21"/>
  <c r="J4" i="21"/>
  <c r="I4" i="21"/>
  <c r="I27" i="20"/>
  <c r="H27" i="20"/>
  <c r="L27" i="20"/>
  <c r="K27" i="20"/>
  <c r="J27" i="20"/>
  <c r="L13" i="20"/>
  <c r="K13" i="20"/>
  <c r="J13" i="20"/>
  <c r="I13" i="20"/>
  <c r="H13" i="20"/>
  <c r="K21" i="21"/>
  <c r="J21" i="21"/>
  <c r="H21" i="21"/>
  <c r="I21" i="21"/>
  <c r="L21" i="21"/>
  <c r="I19" i="20"/>
  <c r="H19" i="20"/>
  <c r="L19" i="20"/>
  <c r="K19" i="20"/>
  <c r="J19" i="20"/>
  <c r="H24" i="20"/>
  <c r="L24" i="20"/>
  <c r="K24" i="20"/>
  <c r="J24" i="20"/>
  <c r="I24" i="20"/>
  <c r="I11" i="20"/>
  <c r="H11" i="20"/>
  <c r="L11" i="20"/>
  <c r="K11" i="20"/>
  <c r="J11" i="20"/>
  <c r="L7" i="20"/>
  <c r="J7" i="20"/>
  <c r="I7" i="20"/>
  <c r="K7" i="20"/>
  <c r="H7" i="20"/>
  <c r="L11" i="21"/>
  <c r="J11" i="21"/>
  <c r="I11" i="21"/>
  <c r="K11" i="21"/>
  <c r="H11" i="21"/>
  <c r="K9" i="20"/>
  <c r="J9" i="20"/>
  <c r="H9" i="20"/>
  <c r="L9" i="20"/>
  <c r="I9" i="20"/>
  <c r="K5" i="21"/>
  <c r="J5" i="21"/>
  <c r="H5" i="21"/>
  <c r="I5" i="21"/>
  <c r="L5" i="21"/>
  <c r="K26" i="20"/>
  <c r="J26" i="20"/>
  <c r="I26" i="20"/>
  <c r="L26" i="20"/>
  <c r="H26" i="20"/>
  <c r="L5" i="20"/>
  <c r="K5" i="20"/>
  <c r="J5" i="20"/>
  <c r="I5" i="20"/>
  <c r="H5" i="20"/>
  <c r="J22" i="20"/>
  <c r="I22" i="20"/>
  <c r="L22" i="20"/>
  <c r="K22" i="20"/>
  <c r="H22" i="20"/>
  <c r="I7" i="21"/>
  <c r="H7" i="21"/>
  <c r="L7" i="21"/>
  <c r="K7" i="21"/>
  <c r="J7" i="21"/>
  <c r="L9" i="21"/>
  <c r="K9" i="21"/>
  <c r="J9" i="21"/>
  <c r="I9" i="21"/>
  <c r="H9" i="21"/>
  <c r="H12" i="21"/>
  <c r="L12" i="21"/>
  <c r="K12" i="21"/>
  <c r="J12" i="21"/>
  <c r="I12" i="21"/>
  <c r="K17" i="20"/>
  <c r="J17" i="20"/>
  <c r="H17" i="20"/>
  <c r="I17" i="20"/>
  <c r="L17" i="20"/>
  <c r="J18" i="21"/>
  <c r="I18" i="21"/>
  <c r="H18" i="21"/>
  <c r="L18" i="21"/>
  <c r="K18" i="21"/>
  <c r="L28" i="20"/>
  <c r="K28" i="20"/>
  <c r="I28" i="20"/>
  <c r="H28" i="20"/>
  <c r="J28" i="20"/>
  <c r="L15" i="20"/>
  <c r="J15" i="20"/>
  <c r="I15" i="20"/>
  <c r="K15" i="20"/>
  <c r="H15" i="20"/>
  <c r="K6" i="21"/>
  <c r="J6" i="21"/>
  <c r="L6" i="21"/>
  <c r="I6" i="21"/>
  <c r="H6" i="21"/>
  <c r="L4" i="20"/>
  <c r="K4" i="20"/>
  <c r="I4" i="20"/>
  <c r="H4" i="20"/>
  <c r="J4" i="20"/>
  <c r="L23" i="20"/>
  <c r="J23" i="20"/>
  <c r="I23" i="20"/>
  <c r="K23" i="20"/>
  <c r="H23" i="20"/>
  <c r="L8" i="21"/>
  <c r="K8" i="21"/>
  <c r="I8" i="21"/>
  <c r="H8" i="21"/>
  <c r="J8" i="21"/>
  <c r="L17" i="21"/>
  <c r="K17" i="21"/>
  <c r="J17" i="21"/>
  <c r="I17" i="21"/>
  <c r="H17" i="21"/>
  <c r="H20" i="21"/>
  <c r="L20" i="21"/>
  <c r="K20" i="21"/>
  <c r="J20" i="21"/>
  <c r="I20" i="21"/>
  <c r="J6" i="20"/>
  <c r="I6" i="20"/>
  <c r="L6" i="20"/>
  <c r="K6" i="20"/>
  <c r="H6" i="20"/>
  <c r="K10" i="20"/>
  <c r="J10" i="20"/>
  <c r="L10" i="20"/>
  <c r="I10" i="20"/>
  <c r="H10" i="20"/>
  <c r="H16" i="20"/>
  <c r="L16" i="20"/>
  <c r="K16" i="20"/>
  <c r="J16" i="20"/>
  <c r="I16" i="20"/>
  <c r="K13" i="21"/>
  <c r="J13" i="21"/>
  <c r="H13" i="21"/>
  <c r="L13" i="21"/>
  <c r="I13" i="21"/>
  <c r="J10" i="21"/>
  <c r="I10" i="21"/>
  <c r="L10" i="21"/>
  <c r="K10" i="21"/>
  <c r="H10" i="21"/>
  <c r="L156" i="9"/>
  <c r="M156" i="9"/>
  <c r="M172" i="9"/>
  <c r="L172" i="9"/>
  <c r="L136" i="9"/>
  <c r="M136" i="9"/>
  <c r="L86" i="9"/>
  <c r="M86" i="9"/>
  <c r="L128" i="9"/>
  <c r="M128" i="9"/>
  <c r="M110" i="9"/>
  <c r="L110" i="9"/>
  <c r="M242" i="9"/>
  <c r="L242" i="9"/>
  <c r="M226" i="9"/>
  <c r="L226" i="9"/>
  <c r="M210" i="9"/>
  <c r="L210" i="9"/>
  <c r="L194" i="9"/>
  <c r="M194" i="9"/>
  <c r="L130" i="9"/>
  <c r="M130" i="9"/>
  <c r="M237" i="9"/>
  <c r="L237" i="9"/>
  <c r="M221" i="9"/>
  <c r="L221" i="9"/>
  <c r="M205" i="9"/>
  <c r="L205" i="9"/>
  <c r="L234" i="9"/>
  <c r="M234" i="9"/>
  <c r="M218" i="9"/>
  <c r="L218" i="9"/>
  <c r="L202" i="9"/>
  <c r="M202" i="9"/>
  <c r="L186" i="9"/>
  <c r="M186" i="9"/>
  <c r="L150" i="9"/>
  <c r="M150" i="9"/>
  <c r="L122" i="9"/>
  <c r="M122" i="9"/>
  <c r="L54" i="9"/>
  <c r="M54" i="9"/>
  <c r="L233" i="9"/>
  <c r="M233" i="9"/>
  <c r="L217" i="9"/>
  <c r="M217" i="9"/>
  <c r="M197" i="9"/>
  <c r="L197" i="9"/>
  <c r="M169" i="9"/>
  <c r="L169" i="9"/>
  <c r="L230" i="9"/>
  <c r="M230" i="9"/>
  <c r="M214" i="9"/>
  <c r="L214" i="9"/>
  <c r="M198" i="9"/>
  <c r="L198" i="9"/>
  <c r="L174" i="9"/>
  <c r="M174" i="9"/>
  <c r="L158" i="9"/>
  <c r="M158" i="9"/>
  <c r="L138" i="9"/>
  <c r="M138" i="9"/>
  <c r="M62" i="9"/>
  <c r="L62" i="9"/>
  <c r="L34" i="9"/>
  <c r="M34" i="9"/>
  <c r="L225" i="9"/>
  <c r="M225" i="9"/>
  <c r="L209" i="9"/>
  <c r="M209" i="9"/>
  <c r="L193" i="9"/>
  <c r="M193" i="9"/>
  <c r="L247" i="9"/>
  <c r="M247" i="9"/>
  <c r="L231" i="9"/>
  <c r="M231" i="9"/>
  <c r="L223" i="9"/>
  <c r="M223" i="9"/>
  <c r="L215" i="9"/>
  <c r="M215" i="9"/>
  <c r="L203" i="9"/>
  <c r="M203" i="9"/>
  <c r="L195" i="9"/>
  <c r="M195" i="9"/>
  <c r="L179" i="9"/>
  <c r="M179" i="9"/>
  <c r="L171" i="9"/>
  <c r="M171" i="9"/>
  <c r="M155" i="9"/>
  <c r="L155" i="9"/>
  <c r="L143" i="9"/>
  <c r="M143" i="9"/>
  <c r="M131" i="9"/>
  <c r="L131" i="9"/>
  <c r="L103" i="9"/>
  <c r="M103" i="9"/>
  <c r="M95" i="9"/>
  <c r="L95" i="9"/>
  <c r="L83" i="9"/>
  <c r="M83" i="9"/>
  <c r="L67" i="9"/>
  <c r="M67" i="9"/>
  <c r="M51" i="9"/>
  <c r="L51" i="9"/>
  <c r="M43" i="9"/>
  <c r="L43" i="9"/>
  <c r="L31" i="9"/>
  <c r="M31" i="9"/>
  <c r="L238" i="9"/>
  <c r="M238" i="9"/>
  <c r="L222" i="9"/>
  <c r="M222" i="9"/>
  <c r="M206" i="9"/>
  <c r="L206" i="9"/>
  <c r="M190" i="9"/>
  <c r="L190" i="9"/>
  <c r="M146" i="9"/>
  <c r="L146" i="9"/>
  <c r="L106" i="9"/>
  <c r="M106" i="9"/>
  <c r="L82" i="9"/>
  <c r="M82" i="9"/>
  <c r="L46" i="9"/>
  <c r="M46" i="9"/>
  <c r="M229" i="9"/>
  <c r="L229" i="9"/>
  <c r="M213" i="9"/>
  <c r="L213" i="9"/>
  <c r="L201" i="9"/>
  <c r="M201" i="9"/>
  <c r="M259" i="9"/>
  <c r="L259" i="9"/>
  <c r="M243" i="9"/>
  <c r="L243" i="9"/>
  <c r="M235" i="9"/>
  <c r="L235" i="9"/>
  <c r="M227" i="9"/>
  <c r="L227" i="9"/>
  <c r="M219" i="9"/>
  <c r="L219" i="9"/>
  <c r="L211" i="9"/>
  <c r="M211" i="9"/>
  <c r="L199" i="9"/>
  <c r="M199" i="9"/>
  <c r="M183" i="9"/>
  <c r="L183" i="9"/>
  <c r="L167" i="9"/>
  <c r="M167" i="9"/>
  <c r="L159" i="9"/>
  <c r="M159" i="9"/>
  <c r="L147" i="9"/>
  <c r="M147" i="9"/>
  <c r="L135" i="9"/>
  <c r="M135" i="9"/>
  <c r="L123" i="9"/>
  <c r="M123" i="9"/>
  <c r="L107" i="9"/>
  <c r="M107" i="9"/>
  <c r="L91" i="9"/>
  <c r="M91" i="9"/>
  <c r="M79" i="9"/>
  <c r="L79" i="9"/>
  <c r="L71" i="9"/>
  <c r="M71" i="9"/>
  <c r="L55" i="9"/>
  <c r="M55" i="9"/>
  <c r="L39" i="9"/>
  <c r="M39" i="9"/>
  <c r="J40" i="9"/>
  <c r="J68" i="9"/>
  <c r="J112" i="9"/>
  <c r="J148" i="9"/>
  <c r="J260" i="9"/>
  <c r="J256" i="9"/>
  <c r="J44" i="9"/>
  <c r="J216" i="9"/>
  <c r="J232" i="9"/>
  <c r="J52" i="9"/>
  <c r="J88" i="9"/>
  <c r="J192" i="9"/>
  <c r="J116" i="9"/>
  <c r="J236" i="9"/>
  <c r="J126" i="9"/>
  <c r="J58" i="9"/>
  <c r="J104" i="9"/>
  <c r="J200" i="9"/>
  <c r="J132" i="9"/>
  <c r="J244" i="9"/>
  <c r="J152" i="9"/>
  <c r="J84" i="9"/>
  <c r="J180" i="9"/>
  <c r="J64" i="9"/>
  <c r="J168" i="9"/>
  <c r="J92" i="9"/>
  <c r="J196" i="9"/>
  <c r="J48" i="9"/>
  <c r="J94" i="9"/>
  <c r="J254" i="9"/>
  <c r="J119" i="9"/>
  <c r="J72" i="9"/>
  <c r="J176" i="9"/>
  <c r="J98" i="9"/>
  <c r="J115" i="9"/>
  <c r="J108" i="9"/>
  <c r="J212" i="9"/>
  <c r="J241" i="9"/>
  <c r="J73" i="9"/>
  <c r="J117" i="9"/>
  <c r="J161" i="9"/>
  <c r="J121" i="9"/>
  <c r="J249" i="9"/>
  <c r="J77" i="9"/>
  <c r="J141" i="9"/>
  <c r="J154" i="9"/>
  <c r="J118" i="9"/>
  <c r="J182" i="9"/>
  <c r="J246" i="9"/>
  <c r="J63" i="9"/>
  <c r="J127" i="9"/>
  <c r="J191" i="9"/>
  <c r="J255" i="9"/>
  <c r="J177" i="9"/>
  <c r="J42" i="9"/>
  <c r="J32" i="9"/>
  <c r="J96" i="9"/>
  <c r="J160" i="9"/>
  <c r="J224" i="9"/>
  <c r="J33" i="9"/>
  <c r="J137" i="9"/>
  <c r="J75" i="9"/>
  <c r="J139" i="9"/>
  <c r="J76" i="9"/>
  <c r="J140" i="9"/>
  <c r="J204" i="9"/>
  <c r="J85" i="9"/>
  <c r="J149" i="9"/>
  <c r="J178" i="9"/>
  <c r="J170" i="9"/>
  <c r="J57" i="9"/>
  <c r="J41" i="9"/>
  <c r="J153" i="9"/>
  <c r="J93" i="9"/>
  <c r="J157" i="9"/>
  <c r="J189" i="9"/>
  <c r="J70" i="9"/>
  <c r="J134" i="9"/>
  <c r="J207" i="9"/>
  <c r="J81" i="9"/>
  <c r="J74" i="9"/>
  <c r="J240" i="9"/>
  <c r="J49" i="9"/>
  <c r="J50" i="9"/>
  <c r="J220" i="9"/>
  <c r="J37" i="9"/>
  <c r="J101" i="9"/>
  <c r="J165" i="9"/>
  <c r="J253" i="9"/>
  <c r="J245" i="9"/>
  <c r="J78" i="9"/>
  <c r="J142" i="9"/>
  <c r="J87" i="9"/>
  <c r="J151" i="9"/>
  <c r="J97" i="9"/>
  <c r="J90" i="9"/>
  <c r="J56" i="9"/>
  <c r="J120" i="9"/>
  <c r="J184" i="9"/>
  <c r="J248" i="9"/>
  <c r="J65" i="9"/>
  <c r="J185" i="9"/>
  <c r="J66" i="9"/>
  <c r="J35" i="9"/>
  <c r="J99" i="9"/>
  <c r="J163" i="9"/>
  <c r="J36" i="9"/>
  <c r="J100" i="9"/>
  <c r="J164" i="9"/>
  <c r="J228" i="9"/>
  <c r="J45" i="9"/>
  <c r="J109" i="9"/>
  <c r="J173" i="9"/>
  <c r="J113" i="9"/>
  <c r="J53" i="9"/>
  <c r="J181" i="9"/>
  <c r="J129" i="9"/>
  <c r="J257" i="9"/>
  <c r="J89" i="9"/>
  <c r="J61" i="9"/>
  <c r="J125" i="9"/>
  <c r="J250" i="9"/>
  <c r="J38" i="9"/>
  <c r="J102" i="9"/>
  <c r="J166" i="9"/>
  <c r="J47" i="9"/>
  <c r="J111" i="9"/>
  <c r="J175" i="9"/>
  <c r="J239" i="9"/>
  <c r="J145" i="9"/>
  <c r="J80" i="9"/>
  <c r="J144" i="9"/>
  <c r="J208" i="9"/>
  <c r="J105" i="9"/>
  <c r="J114" i="9"/>
  <c r="J59" i="9"/>
  <c r="J187" i="9"/>
  <c r="J251" i="9"/>
  <c r="J60" i="9"/>
  <c r="J124" i="9"/>
  <c r="J188" i="9"/>
  <c r="J252" i="9"/>
  <c r="J69" i="9"/>
  <c r="J133" i="9"/>
  <c r="J162" i="9"/>
  <c r="J258" i="9"/>
  <c r="M53" i="9" l="1"/>
  <c r="L53" i="9"/>
  <c r="L49" i="9"/>
  <c r="M49" i="9"/>
  <c r="L127" i="9"/>
  <c r="M127" i="9"/>
  <c r="M168" i="9"/>
  <c r="L168" i="9"/>
  <c r="M111" i="9"/>
  <c r="L111" i="9"/>
  <c r="L120" i="9"/>
  <c r="M120" i="9"/>
  <c r="L204" i="9"/>
  <c r="M204" i="9"/>
  <c r="L212" i="9"/>
  <c r="M212" i="9"/>
  <c r="M88" i="9"/>
  <c r="L88" i="9"/>
  <c r="L105" i="9"/>
  <c r="M105" i="9"/>
  <c r="L173" i="9"/>
  <c r="M173" i="9"/>
  <c r="M74" i="9"/>
  <c r="L74" i="9"/>
  <c r="M246" i="9"/>
  <c r="L246" i="9"/>
  <c r="L166" i="9"/>
  <c r="M166" i="9"/>
  <c r="L90" i="9"/>
  <c r="M90" i="9"/>
  <c r="L76" i="9"/>
  <c r="M76" i="9"/>
  <c r="L115" i="9"/>
  <c r="M115" i="9"/>
  <c r="M144" i="9"/>
  <c r="L144" i="9"/>
  <c r="L89" i="9"/>
  <c r="M89" i="9"/>
  <c r="L45" i="9"/>
  <c r="M45" i="9"/>
  <c r="M66" i="9"/>
  <c r="L66" i="9"/>
  <c r="L97" i="9"/>
  <c r="M97" i="9"/>
  <c r="M101" i="9"/>
  <c r="L101" i="9"/>
  <c r="M207" i="9"/>
  <c r="L207" i="9"/>
  <c r="M57" i="9"/>
  <c r="L57" i="9"/>
  <c r="M139" i="9"/>
  <c r="L139" i="9"/>
  <c r="M42" i="9"/>
  <c r="L42" i="9"/>
  <c r="M118" i="9"/>
  <c r="L118" i="9"/>
  <c r="L121" i="9"/>
  <c r="M121" i="9"/>
  <c r="L98" i="9"/>
  <c r="M98" i="9"/>
  <c r="L48" i="9"/>
  <c r="M48" i="9"/>
  <c r="L84" i="9"/>
  <c r="M84" i="9"/>
  <c r="L126" i="9"/>
  <c r="M126" i="9"/>
  <c r="M52" i="9"/>
  <c r="L52" i="9"/>
  <c r="L148" i="9"/>
  <c r="M148" i="9"/>
  <c r="M175" i="9"/>
  <c r="L175" i="9"/>
  <c r="M78" i="9"/>
  <c r="L78" i="9"/>
  <c r="M224" i="9"/>
  <c r="L224" i="9"/>
  <c r="L254" i="9"/>
  <c r="M254" i="9"/>
  <c r="M44" i="9"/>
  <c r="L44" i="9"/>
  <c r="L69" i="9"/>
  <c r="M69" i="9"/>
  <c r="L113" i="9"/>
  <c r="M113" i="9"/>
  <c r="L240" i="9"/>
  <c r="M240" i="9"/>
  <c r="M141" i="9"/>
  <c r="L141" i="9"/>
  <c r="L200" i="9"/>
  <c r="M200" i="9"/>
  <c r="L125" i="9"/>
  <c r="M125" i="9"/>
  <c r="L253" i="9"/>
  <c r="M253" i="9"/>
  <c r="M153" i="9"/>
  <c r="L153" i="9"/>
  <c r="L77" i="9"/>
  <c r="M77" i="9"/>
  <c r="L61" i="9"/>
  <c r="M61" i="9"/>
  <c r="L165" i="9"/>
  <c r="M165" i="9"/>
  <c r="L32" i="9"/>
  <c r="M32" i="9"/>
  <c r="L180" i="9"/>
  <c r="M180" i="9"/>
  <c r="M102" i="9"/>
  <c r="L102" i="9"/>
  <c r="L60" i="9"/>
  <c r="M60" i="9"/>
  <c r="M80" i="9"/>
  <c r="L80" i="9"/>
  <c r="L38" i="9"/>
  <c r="M38" i="9"/>
  <c r="M257" i="9"/>
  <c r="L257" i="9"/>
  <c r="M228" i="9"/>
  <c r="L228" i="9"/>
  <c r="M185" i="9"/>
  <c r="L185" i="9"/>
  <c r="L151" i="9"/>
  <c r="M151" i="9"/>
  <c r="L37" i="9"/>
  <c r="M37" i="9"/>
  <c r="L134" i="9"/>
  <c r="M134" i="9"/>
  <c r="L170" i="9"/>
  <c r="M170" i="9"/>
  <c r="L75" i="9"/>
  <c r="M75" i="9"/>
  <c r="L177" i="9"/>
  <c r="M177" i="9"/>
  <c r="M161" i="9"/>
  <c r="L161" i="9"/>
  <c r="M176" i="9"/>
  <c r="L176" i="9"/>
  <c r="M152" i="9"/>
  <c r="L152" i="9"/>
  <c r="L112" i="9"/>
  <c r="M112" i="9"/>
  <c r="M133" i="9"/>
  <c r="L133" i="9"/>
  <c r="M36" i="9"/>
  <c r="L36" i="9"/>
  <c r="L157" i="9"/>
  <c r="M157" i="9"/>
  <c r="M154" i="9"/>
  <c r="L154" i="9"/>
  <c r="M132" i="9"/>
  <c r="L132" i="9"/>
  <c r="M250" i="9"/>
  <c r="L250" i="9"/>
  <c r="L245" i="9"/>
  <c r="M245" i="9"/>
  <c r="L160" i="9"/>
  <c r="M160" i="9"/>
  <c r="M94" i="9"/>
  <c r="L94" i="9"/>
  <c r="L256" i="9"/>
  <c r="M256" i="9"/>
  <c r="L47" i="9"/>
  <c r="M47" i="9"/>
  <c r="L56" i="9"/>
  <c r="M56" i="9"/>
  <c r="M96" i="9"/>
  <c r="L96" i="9"/>
  <c r="L104" i="9"/>
  <c r="M104" i="9"/>
  <c r="M188" i="9"/>
  <c r="L188" i="9"/>
  <c r="M109" i="9"/>
  <c r="L109" i="9"/>
  <c r="M81" i="9"/>
  <c r="L81" i="9"/>
  <c r="M182" i="9"/>
  <c r="L182" i="9"/>
  <c r="M58" i="9"/>
  <c r="L58" i="9"/>
  <c r="M124" i="9"/>
  <c r="L124" i="9"/>
  <c r="M258" i="9"/>
  <c r="L258" i="9"/>
  <c r="M251" i="9"/>
  <c r="L251" i="9"/>
  <c r="L145" i="9"/>
  <c r="M145" i="9"/>
  <c r="L129" i="9"/>
  <c r="M129" i="9"/>
  <c r="L164" i="9"/>
  <c r="M164" i="9"/>
  <c r="M65" i="9"/>
  <c r="L65" i="9"/>
  <c r="M87" i="9"/>
  <c r="L87" i="9"/>
  <c r="M220" i="9"/>
  <c r="L220" i="9"/>
  <c r="L70" i="9"/>
  <c r="M70" i="9"/>
  <c r="L178" i="9"/>
  <c r="M178" i="9"/>
  <c r="L137" i="9"/>
  <c r="M137" i="9"/>
  <c r="L255" i="9"/>
  <c r="M255" i="9"/>
  <c r="M117" i="9"/>
  <c r="L117" i="9"/>
  <c r="M72" i="9"/>
  <c r="L72" i="9"/>
  <c r="M196" i="9"/>
  <c r="L196" i="9"/>
  <c r="M236" i="9"/>
  <c r="L236" i="9"/>
  <c r="L232" i="9"/>
  <c r="M232" i="9"/>
  <c r="L68" i="9"/>
  <c r="M68" i="9"/>
  <c r="L59" i="9"/>
  <c r="M59" i="9"/>
  <c r="M184" i="9"/>
  <c r="L184" i="9"/>
  <c r="L85" i="9"/>
  <c r="M85" i="9"/>
  <c r="M241" i="9"/>
  <c r="L241" i="9"/>
  <c r="M192" i="9"/>
  <c r="L192" i="9"/>
  <c r="M114" i="9"/>
  <c r="L114" i="9"/>
  <c r="L163" i="9"/>
  <c r="M163" i="9"/>
  <c r="L93" i="9"/>
  <c r="M93" i="9"/>
  <c r="L63" i="9"/>
  <c r="M63" i="9"/>
  <c r="L64" i="9"/>
  <c r="M64" i="9"/>
  <c r="L252" i="9"/>
  <c r="M252" i="9"/>
  <c r="L99" i="9"/>
  <c r="M99" i="9"/>
  <c r="M140" i="9"/>
  <c r="L140" i="9"/>
  <c r="M108" i="9"/>
  <c r="L108" i="9"/>
  <c r="L208" i="9"/>
  <c r="M208" i="9"/>
  <c r="M35" i="9"/>
  <c r="L35" i="9"/>
  <c r="L41" i="9"/>
  <c r="M41" i="9"/>
  <c r="M249" i="9"/>
  <c r="L249" i="9"/>
  <c r="L260" i="9"/>
  <c r="M260" i="9"/>
  <c r="M162" i="9"/>
  <c r="L162" i="9"/>
  <c r="L187" i="9"/>
  <c r="M187" i="9"/>
  <c r="L239" i="9"/>
  <c r="M239" i="9"/>
  <c r="L181" i="9"/>
  <c r="M181" i="9"/>
  <c r="L100" i="9"/>
  <c r="M100" i="9"/>
  <c r="M248" i="9"/>
  <c r="L248" i="9"/>
  <c r="L142" i="9"/>
  <c r="M142" i="9"/>
  <c r="L50" i="9"/>
  <c r="M50" i="9"/>
  <c r="L189" i="9"/>
  <c r="M189" i="9"/>
  <c r="L149" i="9"/>
  <c r="M149" i="9"/>
  <c r="L33" i="9"/>
  <c r="M33" i="9"/>
  <c r="M191" i="9"/>
  <c r="L191" i="9"/>
  <c r="M73" i="9"/>
  <c r="L73" i="9"/>
  <c r="L119" i="9"/>
  <c r="M119" i="9"/>
  <c r="L92" i="9"/>
  <c r="M92" i="9"/>
  <c r="L244" i="9"/>
  <c r="M244" i="9"/>
  <c r="M116" i="9"/>
  <c r="L116" i="9"/>
  <c r="M216" i="9"/>
  <c r="L216" i="9"/>
  <c r="M40" i="9"/>
  <c r="L40" i="9"/>
  <c r="E8" i="9" l="1"/>
  <c r="D9" i="9" l="1"/>
  <c r="J9" i="9" s="1"/>
  <c r="D10" i="9"/>
  <c r="J10" i="9" s="1"/>
  <c r="D11" i="9"/>
  <c r="J11" i="9" s="1"/>
  <c r="D12" i="9"/>
  <c r="J12" i="9" s="1"/>
  <c r="D13" i="9"/>
  <c r="J13" i="9" s="1"/>
  <c r="D14" i="9"/>
  <c r="J14" i="9" s="1"/>
  <c r="D15" i="9"/>
  <c r="J15" i="9" s="1"/>
  <c r="D16" i="9"/>
  <c r="J16" i="9" s="1"/>
  <c r="D17" i="9"/>
  <c r="J17" i="9" s="1"/>
  <c r="D18" i="9"/>
  <c r="J18" i="9" s="1"/>
  <c r="D19" i="9"/>
  <c r="J19" i="9" s="1"/>
  <c r="D20" i="9"/>
  <c r="J20" i="9" s="1"/>
  <c r="D21" i="9"/>
  <c r="J21" i="9" s="1"/>
  <c r="D22" i="9"/>
  <c r="J22" i="9" s="1"/>
  <c r="D23" i="9"/>
  <c r="J23" i="9" s="1"/>
  <c r="D24" i="9"/>
  <c r="J24" i="9" s="1"/>
  <c r="D25" i="9"/>
  <c r="J25" i="9" s="1"/>
  <c r="D26" i="9"/>
  <c r="J26" i="9" s="1"/>
  <c r="D27" i="9"/>
  <c r="J27" i="9" s="1"/>
  <c r="D28" i="9"/>
  <c r="J28" i="9" s="1"/>
  <c r="D29" i="9"/>
  <c r="J29" i="9" s="1"/>
  <c r="D30" i="9"/>
  <c r="J30" i="9" s="1"/>
  <c r="D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L24" i="9" l="1"/>
  <c r="M24" i="9"/>
  <c r="M15" i="9"/>
  <c r="L15" i="9"/>
  <c r="M20" i="9"/>
  <c r="L20" i="9"/>
  <c r="M14" i="9"/>
  <c r="L14" i="9"/>
  <c r="M13" i="9"/>
  <c r="L13" i="9"/>
  <c r="L27" i="9"/>
  <c r="M27" i="9"/>
  <c r="L19" i="9"/>
  <c r="M19" i="9"/>
  <c r="L11" i="9"/>
  <c r="M11" i="9"/>
  <c r="L16" i="9"/>
  <c r="M16" i="9"/>
  <c r="M22" i="9"/>
  <c r="L22" i="9"/>
  <c r="M29" i="9"/>
  <c r="L29" i="9"/>
  <c r="L28" i="9"/>
  <c r="M28" i="9"/>
  <c r="L26" i="9"/>
  <c r="M26" i="9"/>
  <c r="L18" i="9"/>
  <c r="M18" i="9"/>
  <c r="L10" i="9"/>
  <c r="M10" i="9"/>
  <c r="L23" i="9"/>
  <c r="M23" i="9"/>
  <c r="M30" i="9"/>
  <c r="L30" i="9"/>
  <c r="M21" i="9"/>
  <c r="L21" i="9"/>
  <c r="L12" i="9"/>
  <c r="M12" i="9"/>
  <c r="L25" i="9"/>
  <c r="M25" i="9"/>
  <c r="L17" i="9"/>
  <c r="M17" i="9"/>
  <c r="L9" i="9"/>
  <c r="M9" i="9"/>
  <c r="H8" i="9"/>
  <c r="J8" i="9" s="1"/>
  <c r="L8" i="9" l="1"/>
  <c r="M8" i="9"/>
</calcChain>
</file>

<file path=xl/sharedStrings.xml><?xml version="1.0" encoding="utf-8"?>
<sst xmlns="http://schemas.openxmlformats.org/spreadsheetml/2006/main" count="161" uniqueCount="98">
  <si>
    <t>Tipo de red</t>
  </si>
  <si>
    <t>ACSR</t>
  </si>
  <si>
    <t>Tramo</t>
  </si>
  <si>
    <t>Tipo de conductor</t>
  </si>
  <si>
    <t>Calibre del 
conductor
 [AWG o kcmil]</t>
  </si>
  <si>
    <t>AAAC</t>
  </si>
  <si>
    <t>Tensiones del sistema (kV)</t>
  </si>
  <si>
    <t>Aérea</t>
  </si>
  <si>
    <t>Subterránea</t>
  </si>
  <si>
    <t>Tipo de sistema</t>
  </si>
  <si>
    <t>Trifásico</t>
  </si>
  <si>
    <t>Longitud</t>
  </si>
  <si>
    <t>Costo
Inicial</t>
  </si>
  <si>
    <t>1/0</t>
  </si>
  <si>
    <t>2/0</t>
  </si>
  <si>
    <t>3/0</t>
  </si>
  <si>
    <t>4/0</t>
  </si>
  <si>
    <t>AAC semiaislado  XLPE 15 kV</t>
  </si>
  <si>
    <t>ACSR semiaislado XLPE 35 kV</t>
  </si>
  <si>
    <t>ACSR semiaislado XLPE 15 kV</t>
  </si>
  <si>
    <t>AAAC semiaislado  XLPE 15 kV</t>
  </si>
  <si>
    <t>AAAC semiaislado XLPE 35 kV</t>
  </si>
  <si>
    <t>AAAC semiaislado XLPE 44 kV</t>
  </si>
  <si>
    <t>Trenzada AL</t>
  </si>
  <si>
    <t>Trenzada Cu</t>
  </si>
  <si>
    <t>THW AL 600 V</t>
  </si>
  <si>
    <t>THWN AL 600 V</t>
  </si>
  <si>
    <t>THWN-2 AL 600 V</t>
  </si>
  <si>
    <t>XLPE Cu - 15 kV</t>
  </si>
  <si>
    <t>XLPE Cu - 38 kV</t>
  </si>
  <si>
    <t>XLPE Cu - 46 kV</t>
  </si>
  <si>
    <t>XLPE AL - 15 kV</t>
  </si>
  <si>
    <t>XLPE AL - 38 kV</t>
  </si>
  <si>
    <t>XLPE AL - 46 kV</t>
  </si>
  <si>
    <t>Reserva MT 1 - SUB</t>
  </si>
  <si>
    <t>Reserva MT 2 - SUB</t>
  </si>
  <si>
    <t>Reserva BT 4 - AEO</t>
  </si>
  <si>
    <t>Reserva BT 5 - AEO</t>
  </si>
  <si>
    <t>Reserva BT 2 - SUB</t>
  </si>
  <si>
    <t>Reserva BT 3 - SUB</t>
  </si>
  <si>
    <t>Reserva BT 4 - SUB</t>
  </si>
  <si>
    <t>Reserva BT 5 - SUB</t>
  </si>
  <si>
    <t>Neutro</t>
  </si>
  <si>
    <t>Si</t>
  </si>
  <si>
    <t>No</t>
  </si>
  <si>
    <t>Fases</t>
  </si>
  <si>
    <t>Conductor de tierra</t>
  </si>
  <si>
    <t>Costo
$/kml</t>
  </si>
  <si>
    <t>Tramo 2</t>
  </si>
  <si>
    <t xml:space="preserve">Tramos </t>
  </si>
  <si>
    <t>Tramo 1</t>
  </si>
  <si>
    <t>Tramo 3</t>
  </si>
  <si>
    <t>Tramo 4</t>
  </si>
  <si>
    <t>Tramo 5</t>
  </si>
  <si>
    <t>Tramo 6</t>
  </si>
  <si>
    <t>Tramo 7</t>
  </si>
  <si>
    <t>Tramo 8</t>
  </si>
  <si>
    <t>Tramo 9</t>
  </si>
  <si>
    <t>Tramo 10</t>
  </si>
  <si>
    <t>Tramo 11</t>
  </si>
  <si>
    <t>THWN-2 Cu 600 V</t>
  </si>
  <si>
    <t>Contemplar pérdidas
CREG</t>
  </si>
  <si>
    <t>Acometida concéntrica XLPE - 600 V</t>
  </si>
  <si>
    <t>Cable autosoportado neutro AAAC - XLPE</t>
  </si>
  <si>
    <t>Cable autosoportado neutro ACSR - XLPE</t>
  </si>
  <si>
    <t>Factor de pérdidas</t>
  </si>
  <si>
    <t>r</t>
  </si>
  <si>
    <t>F</t>
  </si>
  <si>
    <t>Monofásico bifilar</t>
  </si>
  <si>
    <t>Monofásico trifilar</t>
  </si>
  <si>
    <t>Tensión (kV)</t>
  </si>
  <si>
    <t>Potencia (MVA)</t>
  </si>
  <si>
    <t>Distancia (km)</t>
  </si>
  <si>
    <t>Base</t>
  </si>
  <si>
    <t>Q</t>
  </si>
  <si>
    <t>I max</t>
  </si>
  <si>
    <t>Costo
operativo</t>
  </si>
  <si>
    <t>THD</t>
  </si>
  <si>
    <t>I max (A)</t>
  </si>
  <si>
    <t>I p.u</t>
  </si>
  <si>
    <t>S p.u</t>
  </si>
  <si>
    <t>Calibre</t>
  </si>
  <si>
    <t>RESISTENCIA 
ohms/Km</t>
  </si>
  <si>
    <t xml:space="preserve"> </t>
  </si>
  <si>
    <t>Pérdidas
[w]</t>
  </si>
  <si>
    <t>Potencia transportada
[w]</t>
  </si>
  <si>
    <t>%pérdidas</t>
  </si>
  <si>
    <t>% Reconocido por
CREG</t>
  </si>
  <si>
    <t>Cálculos (NO MODIFICAR)</t>
  </si>
  <si>
    <t>Tensión (V)</t>
  </si>
  <si>
    <t>Potencia (kVA)</t>
  </si>
  <si>
    <t>Cable ACSR</t>
  </si>
  <si>
    <t>Cable AAAC autosoportado</t>
  </si>
  <si>
    <t>Trenzado  Al - 4 AWG</t>
  </si>
  <si>
    <t>Trenzado  Al - 2 AWG</t>
  </si>
  <si>
    <t>Trenzado  Al - 1/0 AWG</t>
  </si>
  <si>
    <t>Trenzado  Al - 2/0 AWG</t>
  </si>
  <si>
    <t>Trenzado  Al - 4/0 AWG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</si>
</sst>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s_-;\-* #,##0.00\ _P_t_s_-;_-* &quot;-&quot;??\ _P_t_s_-;_-@_-"/>
    <numFmt numFmtId="165" formatCode="_ * #,##0.00_ ;_ * \-#,##0.00_ ;_ * &quot;-&quot;??_ ;_ @_ "/>
    <numFmt numFmtId="166" formatCode="_(&quot;$&quot;* #,##0.00_);_(&quot;$&quot;* \(#,##0.00\);_(&quot;$&quot;* &quot;-&quot;??_);_(@_)"/>
    <numFmt numFmtId="167" formatCode="0.000"/>
    <numFmt numFmtId="168" formatCode="_ &quot;$&quot;\ * #,##0.00_ ;_ &quot;$&quot;\ * \-#,##0.00_ ;_ &quot;$&quot;\ * &quot;-&quot;??_ ;_ @_ "/>
    <numFmt numFmtId="169" formatCode="_-* #,##0.00\ _€_-;\-* #,##0.00\ _€_-;_-* &quot;-&quot;??\ _€_-;_-@_-"/>
    <numFmt numFmtId="170" formatCode="&quot;$&quot;\ #,##0.00"/>
    <numFmt numFmtId="171" formatCode="_([$€-2]* #,##0.00_);_([$€-2]* \(#,##0.00\);_([$€-2]* &quot;-&quot;??_)"/>
    <numFmt numFmtId="172" formatCode="_-* #,##0.00\ &quot;pta&quot;_-;\-* #,##0.00\ &quot;pta&quot;_-;_-* &quot;-&quot;??\ &quot;pta&quot;_-;_-@_-"/>
    <numFmt numFmtId="173" formatCode="_-* #,##0\ _p_t_a_-;\-* #,##0\ _p_t_a_-;_-* &quot;-&quot;\ _p_t_a_-;_-@_-"/>
    <numFmt numFmtId="174" formatCode="[$$-240A]\ #,##0"/>
    <numFmt numFmtId="175" formatCode="[$$-2C0A]\ #,##0.00"/>
    <numFmt numFmtId="176" formatCode="_(* #,##0_);_(* \(#,##0\);_(* &quot;-&quot;??_);_(@_)"/>
    <numFmt numFmtId="177" formatCode="0.0%"/>
    <numFmt numFmtId="178" formatCode="#,##0.00\ &quot;€&quot;;[Red]\-#,##0.00\ &quot;€&quot;"/>
    <numFmt numFmtId="179" formatCode="yyyy/mm/dd"/>
    <numFmt numFmtId="180" formatCode="_(#,##0.0_)_0_0_0;[Red]_(\(#,##0.0\)_0_0_0;_(&quot;-&quot;??_);_(@_)"/>
    <numFmt numFmtId="181" formatCode="_-* #,##0.00\ &quot;$&quot;_-;\-* #,##0.00\ &quot;$&quot;_-;_-* &quot;-&quot;??\ &quot;$&quot;_-;_-@_-"/>
    <numFmt numFmtId="182" formatCode=";;;"/>
    <numFmt numFmtId="183" formatCode="_ &quot;$&quot;\ * #,##0.0000_ ;_ &quot;$&quot;\ * \-#,##0.0000_ ;_ &quot;$&quot;\ * &quot;-&quot;??_ ;_ @_ "/>
    <numFmt numFmtId="184" formatCode="0.000000"/>
    <numFmt numFmtId="185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8"/>
      <color rgb="FF000000"/>
      <name val="Bookman Old Style"/>
      <family val="1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39"/>
      </left>
      <right style="dotted">
        <color indexed="39"/>
      </right>
      <top style="dotted">
        <color indexed="39"/>
      </top>
      <bottom style="dotted">
        <color indexed="3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39">
    <xf numFmtId="0" fontId="0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8" fillId="0" borderId="0"/>
    <xf numFmtId="17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0" borderId="8" applyNumberFormat="0" applyFill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15" fillId="5" borderId="0" applyNumberFormat="0" applyBorder="0" applyAlignment="0" applyProtection="0"/>
    <xf numFmtId="0" fontId="17" fillId="22" borderId="9" applyNumberFormat="0" applyAlignment="0" applyProtection="0"/>
    <xf numFmtId="0" fontId="18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43" fontId="3" fillId="0" borderId="0" applyFont="0" applyFill="0" applyBorder="0" applyAlignment="0" applyProtection="0"/>
    <xf numFmtId="0" fontId="16" fillId="22" borderId="13" applyNumberFormat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7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20" fillId="23" borderId="14" applyNumberFormat="0" applyAlignment="0" applyProtection="0"/>
    <xf numFmtId="0" fontId="21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9" borderId="9" applyNumberFormat="0" applyAlignment="0" applyProtection="0"/>
    <xf numFmtId="0" fontId="23" fillId="0" borderId="15" applyNumberFormat="0" applyFill="0" applyAlignment="0" applyProtection="0"/>
    <xf numFmtId="0" fontId="3" fillId="24" borderId="7" applyNumberFormat="0" applyFont="0" applyAlignment="0" applyProtection="0"/>
    <xf numFmtId="0" fontId="2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0" fontId="25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/>
    <xf numFmtId="0" fontId="26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20" fillId="23" borderId="14" applyNumberFormat="0" applyAlignment="0" applyProtection="0"/>
    <xf numFmtId="0" fontId="20" fillId="23" borderId="14" applyNumberFormat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22" fillId="9" borderId="9" applyNumberFormat="0" applyAlignment="0" applyProtection="0"/>
    <xf numFmtId="0" fontId="22" fillId="9" borderId="9" applyNumberFormat="0" applyAlignment="0" applyProtection="0"/>
    <xf numFmtId="44" fontId="25" fillId="0" borderId="0" applyFon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9" fontId="2" fillId="0" borderId="0" applyFont="0" applyFill="0" applyBorder="0" applyAlignment="0" applyProtection="0"/>
    <xf numFmtId="0" fontId="16" fillId="22" borderId="13" applyNumberFormat="0" applyAlignment="0" applyProtection="0"/>
    <xf numFmtId="0" fontId="16" fillId="22" borderId="13" applyNumberFormat="0" applyAlignment="0" applyProtection="0"/>
    <xf numFmtId="0" fontId="16" fillId="22" borderId="13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17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28" fillId="25" borderId="16" applyNumberFormat="0">
      <alignment horizontal="center" vertical="center"/>
      <protection locked="0"/>
    </xf>
    <xf numFmtId="17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182" fontId="3" fillId="0" borderId="0" applyFont="0" applyFill="0" applyBorder="0" applyAlignment="0">
      <protection hidden="1"/>
    </xf>
    <xf numFmtId="0" fontId="3" fillId="2" borderId="0" applyNumberFormat="0" applyFont="0" applyBorder="0" applyAlignment="0"/>
    <xf numFmtId="0" fontId="2" fillId="0" borderId="0"/>
    <xf numFmtId="0" fontId="6" fillId="0" borderId="0"/>
    <xf numFmtId="174" fontId="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22" borderId="19" applyNumberFormat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6" fillId="22" borderId="20" applyNumberFormat="0" applyAlignment="0" applyProtection="0"/>
    <xf numFmtId="0" fontId="16" fillId="22" borderId="20" applyNumberFormat="0" applyAlignment="0" applyProtection="0"/>
    <xf numFmtId="0" fontId="22" fillId="9" borderId="19" applyNumberFormat="0" applyAlignment="0" applyProtection="0"/>
    <xf numFmtId="0" fontId="3" fillId="24" borderId="17" applyNumberFormat="0" applyFont="0" applyAlignment="0" applyProtection="0"/>
    <xf numFmtId="0" fontId="10" fillId="0" borderId="18" applyNumberFormat="0" applyFill="0" applyAlignment="0" applyProtection="0"/>
    <xf numFmtId="0" fontId="3" fillId="24" borderId="17" applyNumberFormat="0" applyFont="0" applyAlignment="0" applyProtection="0"/>
    <xf numFmtId="0" fontId="17" fillId="22" borderId="19" applyNumberFormat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6" fillId="22" borderId="20" applyNumberFormat="0" applyAlignment="0" applyProtection="0"/>
    <xf numFmtId="0" fontId="3" fillId="24" borderId="17" applyNumberFormat="0" applyFont="0" applyAlignment="0" applyProtection="0"/>
    <xf numFmtId="0" fontId="22" fillId="9" borderId="19" applyNumberFormat="0" applyAlignment="0" applyProtection="0"/>
    <xf numFmtId="0" fontId="17" fillId="22" borderId="19" applyNumberFormat="0" applyAlignment="0" applyProtection="0"/>
    <xf numFmtId="0" fontId="17" fillId="22" borderId="19" applyNumberFormat="0" applyAlignment="0" applyProtection="0"/>
    <xf numFmtId="0" fontId="22" fillId="9" borderId="19" applyNumberFormat="0" applyAlignment="0" applyProtection="0"/>
    <xf numFmtId="0" fontId="16" fillId="22" borderId="20" applyNumberFormat="0" applyAlignment="0" applyProtection="0"/>
    <xf numFmtId="0" fontId="30" fillId="0" borderId="0"/>
    <xf numFmtId="43" fontId="30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0" xfId="0" applyFont="1" applyBorder="1" applyAlignment="1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2" xfId="2" applyFont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3" xfId="0" applyNumberFormat="1" applyBorder="1"/>
    <xf numFmtId="44" fontId="0" fillId="0" borderId="3" xfId="83" applyFont="1" applyBorder="1"/>
    <xf numFmtId="44" fontId="0" fillId="0" borderId="3" xfId="83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Fill="1" applyBorder="1"/>
    <xf numFmtId="0" fontId="0" fillId="0" borderId="2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4" fontId="0" fillId="0" borderId="0" xfId="83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4" fontId="0" fillId="0" borderId="21" xfId="83" applyFont="1" applyBorder="1" applyAlignment="1">
      <alignment horizontal="center"/>
    </xf>
    <xf numFmtId="44" fontId="0" fillId="0" borderId="21" xfId="83" applyFont="1" applyBorder="1" applyAlignment="1">
      <alignment horizontal="center" vertical="center"/>
    </xf>
    <xf numFmtId="170" fontId="0" fillId="0" borderId="2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21" xfId="0" applyFill="1" applyBorder="1" applyAlignment="1">
      <alignment horizontal="center" vertical="center"/>
    </xf>
    <xf numFmtId="167" fontId="0" fillId="0" borderId="0" xfId="0" applyNumberFormat="1" applyAlignment="1">
      <alignment horizontal="left"/>
    </xf>
    <xf numFmtId="167" fontId="0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21" xfId="0" applyNumberFormat="1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9" fontId="0" fillId="0" borderId="21" xfId="1038" applyFont="1" applyBorder="1" applyAlignment="1">
      <alignment vertical="center"/>
    </xf>
    <xf numFmtId="2" fontId="0" fillId="0" borderId="21" xfId="0" applyNumberForma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84" fontId="0" fillId="0" borderId="21" xfId="0" applyNumberFormat="1" applyBorder="1" applyAlignment="1">
      <alignment horizontal="center"/>
    </xf>
    <xf numFmtId="167" fontId="0" fillId="0" borderId="21" xfId="0" applyNumberFormat="1" applyBorder="1" applyAlignment="1">
      <alignment horizontal="center"/>
    </xf>
    <xf numFmtId="44" fontId="0" fillId="0" borderId="3" xfId="83" applyFont="1" applyBorder="1" applyAlignment="1">
      <alignment horizontal="center"/>
    </xf>
    <xf numFmtId="9" fontId="0" fillId="0" borderId="0" xfId="1038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184" fontId="0" fillId="0" borderId="3" xfId="0" applyNumberFormat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/>
    </xf>
    <xf numFmtId="44" fontId="0" fillId="0" borderId="0" xfId="83" applyFont="1" applyBorder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44" fontId="0" fillId="0" borderId="0" xfId="83" applyFont="1" applyFill="1" applyBorder="1"/>
    <xf numFmtId="170" fontId="0" fillId="0" borderId="3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0" fontId="0" fillId="0" borderId="3" xfId="1038" applyNumberFormat="1" applyFont="1" applyBorder="1" applyAlignment="1">
      <alignment horizontal="center" vertical="center"/>
    </xf>
    <xf numFmtId="0" fontId="32" fillId="0" borderId="0" xfId="0" applyFont="1" applyFill="1" applyBorder="1"/>
    <xf numFmtId="44" fontId="0" fillId="0" borderId="0" xfId="0" applyNumberFormat="1" applyBorder="1"/>
    <xf numFmtId="185" fontId="0" fillId="0" borderId="3" xfId="0" applyNumberFormat="1" applyBorder="1" applyAlignment="1">
      <alignment horizontal="center" vertical="center"/>
    </xf>
    <xf numFmtId="185" fontId="0" fillId="0" borderId="21" xfId="0" applyNumberFormat="1" applyBorder="1" applyAlignment="1">
      <alignment horizontal="center" vertical="center"/>
    </xf>
    <xf numFmtId="0" fontId="31" fillId="26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039">
    <cellStyle name="_x0001_" xfId="177" xr:uid="{00000000-0005-0000-0000-000000000000}"/>
    <cellStyle name="_x0002_" xfId="178" xr:uid="{00000000-0005-0000-0000-000001000000}"/>
    <cellStyle name="_x0002_ 2" xfId="179" xr:uid="{00000000-0005-0000-0000-000002000000}"/>
    <cellStyle name="_x0002_ 3" xfId="180" xr:uid="{00000000-0005-0000-0000-000003000000}"/>
    <cellStyle name="_x0002_ 4" xfId="181" xr:uid="{00000000-0005-0000-0000-000004000000}"/>
    <cellStyle name="_CIMCONTR (2)" xfId="182" xr:uid="{00000000-0005-0000-0000-000005000000}"/>
    <cellStyle name="_CIMCONTR (2)_1" xfId="183" xr:uid="{00000000-0005-0000-0000-000006000000}"/>
    <cellStyle name="_MASTER" xfId="184" xr:uid="{00000000-0005-0000-0000-000007000000}"/>
    <cellStyle name="_MASTER_1" xfId="185" xr:uid="{00000000-0005-0000-0000-000008000000}"/>
    <cellStyle name="_MASTER_1 2" xfId="186" xr:uid="{00000000-0005-0000-0000-000009000000}"/>
    <cellStyle name="_MASTER_1 3" xfId="187" xr:uid="{00000000-0005-0000-0000-00000A000000}"/>
    <cellStyle name="_MASTER_1 4" xfId="188" xr:uid="{00000000-0005-0000-0000-00000B000000}"/>
    <cellStyle name="_MOMENTOS Y CORTANTE (2)" xfId="189" xr:uid="{00000000-0005-0000-0000-00000C000000}"/>
    <cellStyle name="_MOMENTOS Y CORTANTE (2)_1" xfId="190" xr:uid="{00000000-0005-0000-0000-00000D000000}"/>
    <cellStyle name="_MOMENTOS Y CORTANTE (2)_1 2" xfId="191" xr:uid="{00000000-0005-0000-0000-00000E000000}"/>
    <cellStyle name="_MOMENTOS Y CORTANTE (2)_1 3" xfId="192" xr:uid="{00000000-0005-0000-0000-00000F000000}"/>
    <cellStyle name="_MOMENTOS Y CORTANTE (2)_1 4" xfId="193" xr:uid="{00000000-0005-0000-0000-000010000000}"/>
    <cellStyle name="01/01/83" xfId="351" xr:uid="{00000000-0005-0000-0000-000011000000}"/>
    <cellStyle name="20% - Accent1" xfId="103" xr:uid="{00000000-0005-0000-0000-000012000000}"/>
    <cellStyle name="20% - Accent2" xfId="104" xr:uid="{00000000-0005-0000-0000-000013000000}"/>
    <cellStyle name="20% - Accent3" xfId="105" xr:uid="{00000000-0005-0000-0000-000014000000}"/>
    <cellStyle name="20% - Accent4" xfId="106" xr:uid="{00000000-0005-0000-0000-000015000000}"/>
    <cellStyle name="20% - Accent5" xfId="107" xr:uid="{00000000-0005-0000-0000-000016000000}"/>
    <cellStyle name="20% - Accent6" xfId="108" xr:uid="{00000000-0005-0000-0000-000017000000}"/>
    <cellStyle name="20% - Énfasis1 2" xfId="194" xr:uid="{00000000-0005-0000-0000-000018000000}"/>
    <cellStyle name="20% - Énfasis1 3" xfId="195" xr:uid="{00000000-0005-0000-0000-000019000000}"/>
    <cellStyle name="20% - Énfasis1 4" xfId="196" xr:uid="{00000000-0005-0000-0000-00001A000000}"/>
    <cellStyle name="20% - Énfasis2 2" xfId="197" xr:uid="{00000000-0005-0000-0000-00001B000000}"/>
    <cellStyle name="20% - Énfasis2 3" xfId="198" xr:uid="{00000000-0005-0000-0000-00001C000000}"/>
    <cellStyle name="20% - Énfasis2 4" xfId="199" xr:uid="{00000000-0005-0000-0000-00001D000000}"/>
    <cellStyle name="20% - Énfasis3 2" xfId="200" xr:uid="{00000000-0005-0000-0000-00001E000000}"/>
    <cellStyle name="20% - Énfasis3 3" xfId="201" xr:uid="{00000000-0005-0000-0000-00001F000000}"/>
    <cellStyle name="20% - Énfasis3 4" xfId="202" xr:uid="{00000000-0005-0000-0000-000020000000}"/>
    <cellStyle name="20% - Énfasis4 2" xfId="203" xr:uid="{00000000-0005-0000-0000-000021000000}"/>
    <cellStyle name="20% - Énfasis4 3" xfId="204" xr:uid="{00000000-0005-0000-0000-000022000000}"/>
    <cellStyle name="20% - Énfasis4 4" xfId="205" xr:uid="{00000000-0005-0000-0000-000023000000}"/>
    <cellStyle name="20% - Énfasis5 2" xfId="206" xr:uid="{00000000-0005-0000-0000-000024000000}"/>
    <cellStyle name="20% - Énfasis5 3" xfId="207" xr:uid="{00000000-0005-0000-0000-000025000000}"/>
    <cellStyle name="20% - Énfasis5 4" xfId="208" xr:uid="{00000000-0005-0000-0000-000026000000}"/>
    <cellStyle name="20% - Énfasis6 2" xfId="209" xr:uid="{00000000-0005-0000-0000-000027000000}"/>
    <cellStyle name="20% - Énfasis6 3" xfId="210" xr:uid="{00000000-0005-0000-0000-000028000000}"/>
    <cellStyle name="20% - Énfasis6 4" xfId="211" xr:uid="{00000000-0005-0000-0000-000029000000}"/>
    <cellStyle name="40% - Accent1" xfId="109" xr:uid="{00000000-0005-0000-0000-00002A000000}"/>
    <cellStyle name="40% - Accent2" xfId="110" xr:uid="{00000000-0005-0000-0000-00002B000000}"/>
    <cellStyle name="40% - Accent3" xfId="111" xr:uid="{00000000-0005-0000-0000-00002C000000}"/>
    <cellStyle name="40% - Accent4" xfId="112" xr:uid="{00000000-0005-0000-0000-00002D000000}"/>
    <cellStyle name="40% - Accent5" xfId="113" xr:uid="{00000000-0005-0000-0000-00002E000000}"/>
    <cellStyle name="40% - Accent6" xfId="114" xr:uid="{00000000-0005-0000-0000-00002F000000}"/>
    <cellStyle name="40% - Énfasis1 2" xfId="212" xr:uid="{00000000-0005-0000-0000-000030000000}"/>
    <cellStyle name="40% - Énfasis1 3" xfId="213" xr:uid="{00000000-0005-0000-0000-000031000000}"/>
    <cellStyle name="40% - Énfasis1 4" xfId="214" xr:uid="{00000000-0005-0000-0000-000032000000}"/>
    <cellStyle name="40% - Énfasis2 2" xfId="215" xr:uid="{00000000-0005-0000-0000-000033000000}"/>
    <cellStyle name="40% - Énfasis2 3" xfId="216" xr:uid="{00000000-0005-0000-0000-000034000000}"/>
    <cellStyle name="40% - Énfasis2 4" xfId="217" xr:uid="{00000000-0005-0000-0000-000035000000}"/>
    <cellStyle name="40% - Énfasis3 2" xfId="218" xr:uid="{00000000-0005-0000-0000-000036000000}"/>
    <cellStyle name="40% - Énfasis3 3" xfId="219" xr:uid="{00000000-0005-0000-0000-000037000000}"/>
    <cellStyle name="40% - Énfasis3 4" xfId="220" xr:uid="{00000000-0005-0000-0000-000038000000}"/>
    <cellStyle name="40% - Énfasis4 2" xfId="221" xr:uid="{00000000-0005-0000-0000-000039000000}"/>
    <cellStyle name="40% - Énfasis4 3" xfId="222" xr:uid="{00000000-0005-0000-0000-00003A000000}"/>
    <cellStyle name="40% - Énfasis4 4" xfId="223" xr:uid="{00000000-0005-0000-0000-00003B000000}"/>
    <cellStyle name="40% - Énfasis5 2" xfId="224" xr:uid="{00000000-0005-0000-0000-00003C000000}"/>
    <cellStyle name="40% - Énfasis5 3" xfId="225" xr:uid="{00000000-0005-0000-0000-00003D000000}"/>
    <cellStyle name="40% - Énfasis5 4" xfId="226" xr:uid="{00000000-0005-0000-0000-00003E000000}"/>
    <cellStyle name="40% - Énfasis6 2" xfId="227" xr:uid="{00000000-0005-0000-0000-00003F000000}"/>
    <cellStyle name="40% - Énfasis6 3" xfId="228" xr:uid="{00000000-0005-0000-0000-000040000000}"/>
    <cellStyle name="40% - Énfasis6 4" xfId="229" xr:uid="{00000000-0005-0000-0000-000041000000}"/>
    <cellStyle name="60% - Accent1" xfId="115" xr:uid="{00000000-0005-0000-0000-000042000000}"/>
    <cellStyle name="60% - Accent2" xfId="116" xr:uid="{00000000-0005-0000-0000-000043000000}"/>
    <cellStyle name="60% - Accent3" xfId="117" xr:uid="{00000000-0005-0000-0000-000044000000}"/>
    <cellStyle name="60% - Accent4" xfId="118" xr:uid="{00000000-0005-0000-0000-000045000000}"/>
    <cellStyle name="60% - Accent5" xfId="119" xr:uid="{00000000-0005-0000-0000-000046000000}"/>
    <cellStyle name="60% - Accent6" xfId="120" xr:uid="{00000000-0005-0000-0000-000047000000}"/>
    <cellStyle name="60% - Énfasis1 2" xfId="230" xr:uid="{00000000-0005-0000-0000-000048000000}"/>
    <cellStyle name="60% - Énfasis1 3" xfId="231" xr:uid="{00000000-0005-0000-0000-000049000000}"/>
    <cellStyle name="60% - Énfasis1 4" xfId="232" xr:uid="{00000000-0005-0000-0000-00004A000000}"/>
    <cellStyle name="60% - Énfasis2 2" xfId="233" xr:uid="{00000000-0005-0000-0000-00004B000000}"/>
    <cellStyle name="60% - Énfasis2 3" xfId="234" xr:uid="{00000000-0005-0000-0000-00004C000000}"/>
    <cellStyle name="60% - Énfasis2 4" xfId="235" xr:uid="{00000000-0005-0000-0000-00004D000000}"/>
    <cellStyle name="60% - Énfasis3 2" xfId="236" xr:uid="{00000000-0005-0000-0000-00004E000000}"/>
    <cellStyle name="60% - Énfasis3 3" xfId="237" xr:uid="{00000000-0005-0000-0000-00004F000000}"/>
    <cellStyle name="60% - Énfasis3 4" xfId="238" xr:uid="{00000000-0005-0000-0000-000050000000}"/>
    <cellStyle name="60% - Énfasis4 2" xfId="239" xr:uid="{00000000-0005-0000-0000-000051000000}"/>
    <cellStyle name="60% - Énfasis4 3" xfId="240" xr:uid="{00000000-0005-0000-0000-000052000000}"/>
    <cellStyle name="60% - Énfasis4 4" xfId="241" xr:uid="{00000000-0005-0000-0000-000053000000}"/>
    <cellStyle name="60% - Énfasis5 2" xfId="242" xr:uid="{00000000-0005-0000-0000-000054000000}"/>
    <cellStyle name="60% - Énfasis5 3" xfId="243" xr:uid="{00000000-0005-0000-0000-000055000000}"/>
    <cellStyle name="60% - Énfasis5 4" xfId="244" xr:uid="{00000000-0005-0000-0000-000056000000}"/>
    <cellStyle name="60% - Énfasis6 2" xfId="245" xr:uid="{00000000-0005-0000-0000-000057000000}"/>
    <cellStyle name="60% - Énfasis6 3" xfId="246" xr:uid="{00000000-0005-0000-0000-000058000000}"/>
    <cellStyle name="60% - Énfasis6 4" xfId="247" xr:uid="{00000000-0005-0000-0000-000059000000}"/>
    <cellStyle name="Accent1" xfId="121" xr:uid="{00000000-0005-0000-0000-00005A000000}"/>
    <cellStyle name="Accent2" xfId="122" xr:uid="{00000000-0005-0000-0000-00005B000000}"/>
    <cellStyle name="Accent3" xfId="123" xr:uid="{00000000-0005-0000-0000-00005C000000}"/>
    <cellStyle name="Accent4" xfId="124" xr:uid="{00000000-0005-0000-0000-00005D000000}"/>
    <cellStyle name="Accent5" xfId="125" xr:uid="{00000000-0005-0000-0000-00005E000000}"/>
    <cellStyle name="Accent6" xfId="126" xr:uid="{00000000-0005-0000-0000-00005F000000}"/>
    <cellStyle name="Bad" xfId="127" xr:uid="{00000000-0005-0000-0000-000060000000}"/>
    <cellStyle name="Buena 2" xfId="248" xr:uid="{00000000-0005-0000-0000-000061000000}"/>
    <cellStyle name="Buena 3" xfId="249" xr:uid="{00000000-0005-0000-0000-000062000000}"/>
    <cellStyle name="Calculation" xfId="128" xr:uid="{00000000-0005-0000-0000-000063000000}"/>
    <cellStyle name="Calculation 2" xfId="1016" xr:uid="{00000000-0005-0000-0000-000064000000}"/>
    <cellStyle name="Cálculo 2" xfId="250" xr:uid="{00000000-0005-0000-0000-000065000000}"/>
    <cellStyle name="Cálculo 2 2" xfId="1033" xr:uid="{00000000-0005-0000-0000-000066000000}"/>
    <cellStyle name="Cálculo 3" xfId="251" xr:uid="{00000000-0005-0000-0000-000067000000}"/>
    <cellStyle name="Cálculo 3 2" xfId="1032" xr:uid="{00000000-0005-0000-0000-000068000000}"/>
    <cellStyle name="Cálculo 4" xfId="252" xr:uid="{00000000-0005-0000-0000-000069000000}"/>
    <cellStyle name="Cálculo 4 2" xfId="1025" xr:uid="{00000000-0005-0000-0000-00006A000000}"/>
    <cellStyle name="Celda de comprobación 2" xfId="253" xr:uid="{00000000-0005-0000-0000-00006B000000}"/>
    <cellStyle name="Celda de comprobación 3" xfId="254" xr:uid="{00000000-0005-0000-0000-00006C000000}"/>
    <cellStyle name="Celda vinculada 2" xfId="255" xr:uid="{00000000-0005-0000-0000-00006D000000}"/>
    <cellStyle name="Celda vinculada 3" xfId="256" xr:uid="{00000000-0005-0000-0000-00006E000000}"/>
    <cellStyle name="Check Cell" xfId="158" xr:uid="{00000000-0005-0000-0000-00006F000000}"/>
    <cellStyle name="Currency" xfId="83" builtinId="4"/>
    <cellStyle name="Currency 2" xfId="165" xr:uid="{00000000-0005-0000-0000-000071000000}"/>
    <cellStyle name="Currency 2 2" xfId="173" xr:uid="{00000000-0005-0000-0000-000072000000}"/>
    <cellStyle name="Currency 3" xfId="174" xr:uid="{00000000-0005-0000-0000-000073000000}"/>
    <cellStyle name="Desprotegido" xfId="352" xr:uid="{00000000-0005-0000-0000-000074000000}"/>
    <cellStyle name="Encabezado 4 2" xfId="257" xr:uid="{00000000-0005-0000-0000-000075000000}"/>
    <cellStyle name="Encabezado 4 3" xfId="258" xr:uid="{00000000-0005-0000-0000-000076000000}"/>
    <cellStyle name="Énfasis1 2" xfId="259" xr:uid="{00000000-0005-0000-0000-000077000000}"/>
    <cellStyle name="Énfasis1 3" xfId="260" xr:uid="{00000000-0005-0000-0000-000078000000}"/>
    <cellStyle name="Énfasis1 4" xfId="261" xr:uid="{00000000-0005-0000-0000-000079000000}"/>
    <cellStyle name="Énfasis2 2" xfId="262" xr:uid="{00000000-0005-0000-0000-00007A000000}"/>
    <cellStyle name="Énfasis2 3" xfId="263" xr:uid="{00000000-0005-0000-0000-00007B000000}"/>
    <cellStyle name="Énfasis2 4" xfId="264" xr:uid="{00000000-0005-0000-0000-00007C000000}"/>
    <cellStyle name="Énfasis3 2" xfId="265" xr:uid="{00000000-0005-0000-0000-00007D000000}"/>
    <cellStyle name="Énfasis3 3" xfId="266" xr:uid="{00000000-0005-0000-0000-00007E000000}"/>
    <cellStyle name="Énfasis3 4" xfId="267" xr:uid="{00000000-0005-0000-0000-00007F000000}"/>
    <cellStyle name="Énfasis4 2" xfId="268" xr:uid="{00000000-0005-0000-0000-000080000000}"/>
    <cellStyle name="Énfasis4 3" xfId="269" xr:uid="{00000000-0005-0000-0000-000081000000}"/>
    <cellStyle name="Énfasis4 4" xfId="270" xr:uid="{00000000-0005-0000-0000-000082000000}"/>
    <cellStyle name="Énfasis5 2" xfId="271" xr:uid="{00000000-0005-0000-0000-000083000000}"/>
    <cellStyle name="Énfasis5 3" xfId="272" xr:uid="{00000000-0005-0000-0000-000084000000}"/>
    <cellStyle name="Énfasis5 4" xfId="273" xr:uid="{00000000-0005-0000-0000-000085000000}"/>
    <cellStyle name="Énfasis6 2" xfId="274" xr:uid="{00000000-0005-0000-0000-000086000000}"/>
    <cellStyle name="Énfasis6 3" xfId="275" xr:uid="{00000000-0005-0000-0000-000087000000}"/>
    <cellStyle name="Énfasis6 4" xfId="276" xr:uid="{00000000-0005-0000-0000-000088000000}"/>
    <cellStyle name="Entrada 2" xfId="277" xr:uid="{00000000-0005-0000-0000-000089000000}"/>
    <cellStyle name="Entrada 2 2" xfId="1031" xr:uid="{00000000-0005-0000-0000-00008A000000}"/>
    <cellStyle name="Entrada 3" xfId="278" xr:uid="{00000000-0005-0000-0000-00008B000000}"/>
    <cellStyle name="Entrada 3 2" xfId="1021" xr:uid="{00000000-0005-0000-0000-00008C000000}"/>
    <cellStyle name="Estilo 1" xfId="279" xr:uid="{00000000-0005-0000-0000-00008D000000}"/>
    <cellStyle name="Estilo 2" xfId="280" xr:uid="{00000000-0005-0000-0000-00008E000000}"/>
    <cellStyle name="Euro" xfId="84" xr:uid="{00000000-0005-0000-0000-00008F000000}"/>
    <cellStyle name="Explanatory Text" xfId="129" xr:uid="{00000000-0005-0000-0000-000090000000}"/>
    <cellStyle name="Fecha_amd" xfId="353" xr:uid="{00000000-0005-0000-0000-000091000000}"/>
    <cellStyle name="Good" xfId="159" xr:uid="{00000000-0005-0000-0000-000092000000}"/>
    <cellStyle name="Heading 1" xfId="130" xr:uid="{00000000-0005-0000-0000-000093000000}"/>
    <cellStyle name="Heading 2" xfId="131" xr:uid="{00000000-0005-0000-0000-000094000000}"/>
    <cellStyle name="Heading 3" xfId="132" xr:uid="{00000000-0005-0000-0000-000095000000}"/>
    <cellStyle name="Heading 4" xfId="160" xr:uid="{00000000-0005-0000-0000-000096000000}"/>
    <cellStyle name="Hipervínculo 2" xfId="281" xr:uid="{00000000-0005-0000-0000-000097000000}"/>
    <cellStyle name="Hipervínculo 3" xfId="393" xr:uid="{00000000-0005-0000-0000-000098000000}"/>
    <cellStyle name="Hipervínculo 4" xfId="989" xr:uid="{00000000-0005-0000-0000-000099000000}"/>
    <cellStyle name="Incorrecto 2" xfId="282" xr:uid="{00000000-0005-0000-0000-00009A000000}"/>
    <cellStyle name="Incorrecto 3" xfId="283" xr:uid="{00000000-0005-0000-0000-00009B000000}"/>
    <cellStyle name="Incorrecto 4" xfId="284" xr:uid="{00000000-0005-0000-0000-00009C000000}"/>
    <cellStyle name="Input" xfId="161" xr:uid="{00000000-0005-0000-0000-00009D000000}"/>
    <cellStyle name="Input 2" xfId="1034" xr:uid="{00000000-0005-0000-0000-00009E000000}"/>
    <cellStyle name="Linked Cell" xfId="162" xr:uid="{00000000-0005-0000-0000-00009F000000}"/>
    <cellStyle name="Millares [0] 2" xfId="87" xr:uid="{00000000-0005-0000-0000-0000A0000000}"/>
    <cellStyle name="Millares [0] 2 2" xfId="94" xr:uid="{00000000-0005-0000-0000-0000A1000000}"/>
    <cellStyle name="Millares [0] 2 2 2" xfId="285" xr:uid="{00000000-0005-0000-0000-0000A2000000}"/>
    <cellStyle name="Millares [0] 2 3" xfId="286" xr:uid="{00000000-0005-0000-0000-0000A3000000}"/>
    <cellStyle name="Millares [0] 2 4" xfId="287" xr:uid="{00000000-0005-0000-0000-0000A4000000}"/>
    <cellStyle name="Millares [0] 3" xfId="354" xr:uid="{00000000-0005-0000-0000-0000A5000000}"/>
    <cellStyle name="Millares [0] 4" xfId="355" xr:uid="{00000000-0005-0000-0000-0000A6000000}"/>
    <cellStyle name="Millares [0] 5" xfId="383" xr:uid="{00000000-0005-0000-0000-0000A7000000}"/>
    <cellStyle name="Millares [0] 5 2" xfId="603" xr:uid="{00000000-0005-0000-0000-0000A8000000}"/>
    <cellStyle name="Millares [0] 5 2 2" xfId="680" xr:uid="{00000000-0005-0000-0000-0000A9000000}"/>
    <cellStyle name="Millares [0] 5 2 2 2" xfId="995" xr:uid="{00000000-0005-0000-0000-0000AA000000}"/>
    <cellStyle name="Millares [0] 5 3" xfId="681" xr:uid="{00000000-0005-0000-0000-0000AB000000}"/>
    <cellStyle name="Millares [0] 6" xfId="394" xr:uid="{00000000-0005-0000-0000-0000AC000000}"/>
    <cellStyle name="Millares [0] 6 2" xfId="682" xr:uid="{00000000-0005-0000-0000-0000AD000000}"/>
    <cellStyle name="Millares [0] 7" xfId="395" xr:uid="{00000000-0005-0000-0000-0000AE000000}"/>
    <cellStyle name="Millares [0] 7 2" xfId="683" xr:uid="{00000000-0005-0000-0000-0000AF000000}"/>
    <cellStyle name="Millares [3]" xfId="356" xr:uid="{00000000-0005-0000-0000-0000B0000000}"/>
    <cellStyle name="Millares 10" xfId="370" xr:uid="{00000000-0005-0000-0000-0000B1000000}"/>
    <cellStyle name="Millares 11" xfId="396" xr:uid="{00000000-0005-0000-0000-0000B2000000}"/>
    <cellStyle name="Millares 12" xfId="397" xr:uid="{00000000-0005-0000-0000-0000B3000000}"/>
    <cellStyle name="Millares 13" xfId="398" xr:uid="{00000000-0005-0000-0000-0000B4000000}"/>
    <cellStyle name="Millares 14" xfId="399" xr:uid="{00000000-0005-0000-0000-0000B5000000}"/>
    <cellStyle name="Millares 15" xfId="400" xr:uid="{00000000-0005-0000-0000-0000B6000000}"/>
    <cellStyle name="Millares 16" xfId="401" xr:uid="{00000000-0005-0000-0000-0000B7000000}"/>
    <cellStyle name="Millares 17" xfId="402" xr:uid="{00000000-0005-0000-0000-0000B8000000}"/>
    <cellStyle name="Millares 18" xfId="403" xr:uid="{00000000-0005-0000-0000-0000B9000000}"/>
    <cellStyle name="Millares 19" xfId="404" xr:uid="{00000000-0005-0000-0000-0000BA000000}"/>
    <cellStyle name="Millares 2" xfId="69" xr:uid="{00000000-0005-0000-0000-0000BB000000}"/>
    <cellStyle name="Millares 2 2" xfId="71" xr:uid="{00000000-0005-0000-0000-0000BC000000}"/>
    <cellStyle name="Millares 2 2 2" xfId="133" xr:uid="{00000000-0005-0000-0000-0000BD000000}"/>
    <cellStyle name="Millares 2 3" xfId="78" xr:uid="{00000000-0005-0000-0000-0000BE000000}"/>
    <cellStyle name="Millares 2 3 2" xfId="137" xr:uid="{00000000-0005-0000-0000-0000BF000000}"/>
    <cellStyle name="Millares 2 4" xfId="405" xr:uid="{00000000-0005-0000-0000-0000C0000000}"/>
    <cellStyle name="Millares 2 4 2" xfId="684" xr:uid="{00000000-0005-0000-0000-0000C1000000}"/>
    <cellStyle name="Millares 2 5" xfId="406" xr:uid="{00000000-0005-0000-0000-0000C2000000}"/>
    <cellStyle name="Millares 20" xfId="407" xr:uid="{00000000-0005-0000-0000-0000C3000000}"/>
    <cellStyle name="Millares 21" xfId="408" xr:uid="{00000000-0005-0000-0000-0000C4000000}"/>
    <cellStyle name="Millares 22" xfId="409" xr:uid="{00000000-0005-0000-0000-0000C5000000}"/>
    <cellStyle name="Millares 22 2" xfId="605" xr:uid="{00000000-0005-0000-0000-0000C6000000}"/>
    <cellStyle name="Millares 22 2 2" xfId="685" xr:uid="{00000000-0005-0000-0000-0000C7000000}"/>
    <cellStyle name="Millares 22 3" xfId="686" xr:uid="{00000000-0005-0000-0000-0000C8000000}"/>
    <cellStyle name="Millares 23" xfId="410" xr:uid="{00000000-0005-0000-0000-0000C9000000}"/>
    <cellStyle name="Millares 23 2" xfId="687" xr:uid="{00000000-0005-0000-0000-0000CA000000}"/>
    <cellStyle name="Millares 23 2 2" xfId="688" xr:uid="{00000000-0005-0000-0000-0000CB000000}"/>
    <cellStyle name="Millares 23 3" xfId="689" xr:uid="{00000000-0005-0000-0000-0000CC000000}"/>
    <cellStyle name="Millares 24" xfId="411" xr:uid="{00000000-0005-0000-0000-0000CD000000}"/>
    <cellStyle name="Millares 24 2" xfId="690" xr:uid="{00000000-0005-0000-0000-0000CE000000}"/>
    <cellStyle name="Millares 24 2 2" xfId="691" xr:uid="{00000000-0005-0000-0000-0000CF000000}"/>
    <cellStyle name="Millares 24 3" xfId="692" xr:uid="{00000000-0005-0000-0000-0000D0000000}"/>
    <cellStyle name="Millares 25" xfId="412" xr:uid="{00000000-0005-0000-0000-0000D1000000}"/>
    <cellStyle name="Millares 25 2" xfId="693" xr:uid="{00000000-0005-0000-0000-0000D2000000}"/>
    <cellStyle name="Millares 26" xfId="413" xr:uid="{00000000-0005-0000-0000-0000D3000000}"/>
    <cellStyle name="Millares 26 2" xfId="694" xr:uid="{00000000-0005-0000-0000-0000D4000000}"/>
    <cellStyle name="Millares 27" xfId="389" xr:uid="{00000000-0005-0000-0000-0000D5000000}"/>
    <cellStyle name="Millares 27 2" xfId="695" xr:uid="{00000000-0005-0000-0000-0000D6000000}"/>
    <cellStyle name="Millares 28" xfId="414" xr:uid="{00000000-0005-0000-0000-0000D7000000}"/>
    <cellStyle name="Millares 28 2" xfId="696" xr:uid="{00000000-0005-0000-0000-0000D8000000}"/>
    <cellStyle name="Millares 29" xfId="415" xr:uid="{00000000-0005-0000-0000-0000D9000000}"/>
    <cellStyle name="Millares 29 2" xfId="697" xr:uid="{00000000-0005-0000-0000-0000DA000000}"/>
    <cellStyle name="Millares 3" xfId="79" xr:uid="{00000000-0005-0000-0000-0000DB000000}"/>
    <cellStyle name="Millares 3 2" xfId="357" xr:uid="{00000000-0005-0000-0000-0000DC000000}"/>
    <cellStyle name="Millares 3 2 2" xfId="416" xr:uid="{00000000-0005-0000-0000-0000DD000000}"/>
    <cellStyle name="Millares 3 2 2 2" xfId="417" xr:uid="{00000000-0005-0000-0000-0000DE000000}"/>
    <cellStyle name="Millares 3 2 2 2 2" xfId="698" xr:uid="{00000000-0005-0000-0000-0000DF000000}"/>
    <cellStyle name="Millares 3 2 2 3" xfId="606" xr:uid="{00000000-0005-0000-0000-0000E0000000}"/>
    <cellStyle name="Millares 3 2 2 3 2" xfId="699" xr:uid="{00000000-0005-0000-0000-0000E1000000}"/>
    <cellStyle name="Millares 3 2 2 4" xfId="700" xr:uid="{00000000-0005-0000-0000-0000E2000000}"/>
    <cellStyle name="Millares 3 2 3" xfId="418" xr:uid="{00000000-0005-0000-0000-0000E3000000}"/>
    <cellStyle name="Millares 3 2 3 2" xfId="419" xr:uid="{00000000-0005-0000-0000-0000E4000000}"/>
    <cellStyle name="Millares 3 2 3 2 2" xfId="701" xr:uid="{00000000-0005-0000-0000-0000E5000000}"/>
    <cellStyle name="Millares 3 2 3 3" xfId="607" xr:uid="{00000000-0005-0000-0000-0000E6000000}"/>
    <cellStyle name="Millares 3 2 3 3 2" xfId="702" xr:uid="{00000000-0005-0000-0000-0000E7000000}"/>
    <cellStyle name="Millares 3 2 3 4" xfId="703" xr:uid="{00000000-0005-0000-0000-0000E8000000}"/>
    <cellStyle name="Millares 3 2 4" xfId="420" xr:uid="{00000000-0005-0000-0000-0000E9000000}"/>
    <cellStyle name="Millares 3 2 4 2" xfId="704" xr:uid="{00000000-0005-0000-0000-0000EA000000}"/>
    <cellStyle name="Millares 3 2 5" xfId="421" xr:uid="{00000000-0005-0000-0000-0000EB000000}"/>
    <cellStyle name="Millares 3 2 5 2" xfId="705" xr:uid="{00000000-0005-0000-0000-0000EC000000}"/>
    <cellStyle name="Millares 3 2 6" xfId="422" xr:uid="{00000000-0005-0000-0000-0000ED000000}"/>
    <cellStyle name="Millares 3 2 6 2" xfId="706" xr:uid="{00000000-0005-0000-0000-0000EE000000}"/>
    <cellStyle name="Millares 3 2 7" xfId="608" xr:uid="{00000000-0005-0000-0000-0000EF000000}"/>
    <cellStyle name="Millares 3 2 7 2" xfId="707" xr:uid="{00000000-0005-0000-0000-0000F0000000}"/>
    <cellStyle name="Millares 3 2 8" xfId="708" xr:uid="{00000000-0005-0000-0000-0000F1000000}"/>
    <cellStyle name="Millares 3 3" xfId="423" xr:uid="{00000000-0005-0000-0000-0000F2000000}"/>
    <cellStyle name="Millares 3 4" xfId="424" xr:uid="{00000000-0005-0000-0000-0000F3000000}"/>
    <cellStyle name="Millares 3 5" xfId="425" xr:uid="{00000000-0005-0000-0000-0000F4000000}"/>
    <cellStyle name="Millares 3 6" xfId="140" xr:uid="{00000000-0005-0000-0000-0000F5000000}"/>
    <cellStyle name="Millares 30" xfId="426" xr:uid="{00000000-0005-0000-0000-0000F6000000}"/>
    <cellStyle name="Millares 30 2" xfId="709" xr:uid="{00000000-0005-0000-0000-0000F7000000}"/>
    <cellStyle name="Millares 31" xfId="427" xr:uid="{00000000-0005-0000-0000-0000F8000000}"/>
    <cellStyle name="Millares 31 2" xfId="710" xr:uid="{00000000-0005-0000-0000-0000F9000000}"/>
    <cellStyle name="Millares 32" xfId="428" xr:uid="{00000000-0005-0000-0000-0000FA000000}"/>
    <cellStyle name="Millares 32 2" xfId="711" xr:uid="{00000000-0005-0000-0000-0000FB000000}"/>
    <cellStyle name="Millares 33" xfId="429" xr:uid="{00000000-0005-0000-0000-0000FC000000}"/>
    <cellStyle name="Millares 33 2" xfId="712" xr:uid="{00000000-0005-0000-0000-0000FD000000}"/>
    <cellStyle name="Millares 34" xfId="392" xr:uid="{00000000-0005-0000-0000-0000FE000000}"/>
    <cellStyle name="Millares 34 2" xfId="713" xr:uid="{00000000-0005-0000-0000-0000FF000000}"/>
    <cellStyle name="Millares 35" xfId="375" xr:uid="{00000000-0005-0000-0000-000000010000}"/>
    <cellStyle name="Millares 35 2" xfId="714" xr:uid="{00000000-0005-0000-0000-000001010000}"/>
    <cellStyle name="Millares 36" xfId="1000" xr:uid="{00000000-0005-0000-0000-000002010000}"/>
    <cellStyle name="Millares 37" xfId="1001" xr:uid="{00000000-0005-0000-0000-000003010000}"/>
    <cellStyle name="Millares 38" xfId="1002" xr:uid="{00000000-0005-0000-0000-000004010000}"/>
    <cellStyle name="Millares 39" xfId="1003" xr:uid="{00000000-0005-0000-0000-000005010000}"/>
    <cellStyle name="Millares 4" xfId="142" xr:uid="{00000000-0005-0000-0000-000006010000}"/>
    <cellStyle name="Millares 4 2" xfId="358" xr:uid="{00000000-0005-0000-0000-000007010000}"/>
    <cellStyle name="Millares 4 3" xfId="359" xr:uid="{00000000-0005-0000-0000-000008010000}"/>
    <cellStyle name="Millares 4 4" xfId="360" xr:uid="{00000000-0005-0000-0000-000009010000}"/>
    <cellStyle name="Millares 40" xfId="1004" xr:uid="{00000000-0005-0000-0000-00000A010000}"/>
    <cellStyle name="Millares 41" xfId="1005" xr:uid="{00000000-0005-0000-0000-00000B010000}"/>
    <cellStyle name="Millares 42" xfId="1006" xr:uid="{00000000-0005-0000-0000-00000C010000}"/>
    <cellStyle name="Millares 43" xfId="1007" xr:uid="{00000000-0005-0000-0000-00000D010000}"/>
    <cellStyle name="Millares 44" xfId="1008" xr:uid="{00000000-0005-0000-0000-00000E010000}"/>
    <cellStyle name="Millares 45" xfId="1009" xr:uid="{00000000-0005-0000-0000-00000F010000}"/>
    <cellStyle name="Millares 46" xfId="1010" xr:uid="{00000000-0005-0000-0000-000010010000}"/>
    <cellStyle name="Millares 47" xfId="1011" xr:uid="{00000000-0005-0000-0000-000011010000}"/>
    <cellStyle name="Millares 48" xfId="1012" xr:uid="{00000000-0005-0000-0000-000012010000}"/>
    <cellStyle name="Millares 49" xfId="1013" xr:uid="{00000000-0005-0000-0000-000013010000}"/>
    <cellStyle name="Millares 5" xfId="166" xr:uid="{00000000-0005-0000-0000-000014010000}"/>
    <cellStyle name="Millares 50" xfId="1014" xr:uid="{00000000-0005-0000-0000-000015010000}"/>
    <cellStyle name="Millares 51" xfId="1015" xr:uid="{00000000-0005-0000-0000-000016010000}"/>
    <cellStyle name="Millares 52" xfId="1037" xr:uid="{00000000-0005-0000-0000-000017010000}"/>
    <cellStyle name="Millares 6" xfId="361" xr:uid="{00000000-0005-0000-0000-000018010000}"/>
    <cellStyle name="Millares 7" xfId="368" xr:uid="{00000000-0005-0000-0000-000019010000}"/>
    <cellStyle name="Millares 8" xfId="100" xr:uid="{00000000-0005-0000-0000-00001A010000}"/>
    <cellStyle name="Millares 9" xfId="155" xr:uid="{00000000-0005-0000-0000-00001B010000}"/>
    <cellStyle name="Moneda 10" xfId="148" xr:uid="{00000000-0005-0000-0000-00001D010000}"/>
    <cellStyle name="Moneda 11" xfId="149" xr:uid="{00000000-0005-0000-0000-00001E010000}"/>
    <cellStyle name="Moneda 12" xfId="150" xr:uid="{00000000-0005-0000-0000-00001F010000}"/>
    <cellStyle name="Moneda 13" xfId="151" xr:uid="{00000000-0005-0000-0000-000020010000}"/>
    <cellStyle name="Moneda 14" xfId="152" xr:uid="{00000000-0005-0000-0000-000021010000}"/>
    <cellStyle name="Moneda 15" xfId="153" xr:uid="{00000000-0005-0000-0000-000022010000}"/>
    <cellStyle name="Moneda 16" xfId="170" xr:uid="{00000000-0005-0000-0000-000023010000}"/>
    <cellStyle name="Moneda 16 2" xfId="288" xr:uid="{00000000-0005-0000-0000-000024010000}"/>
    <cellStyle name="Moneda 16 2 2" xfId="430" xr:uid="{00000000-0005-0000-0000-000025010000}"/>
    <cellStyle name="Moneda 16 2 2 2" xfId="385" xr:uid="{00000000-0005-0000-0000-000026010000}"/>
    <cellStyle name="Moneda 16 2 2 2 2" xfId="715" xr:uid="{00000000-0005-0000-0000-000027010000}"/>
    <cellStyle name="Moneda 16 2 2 2 2 2" xfId="996" xr:uid="{00000000-0005-0000-0000-000028010000}"/>
    <cellStyle name="Moneda 16 2 2 3" xfId="609" xr:uid="{00000000-0005-0000-0000-000029010000}"/>
    <cellStyle name="Moneda 16 2 2 3 2" xfId="716" xr:uid="{00000000-0005-0000-0000-00002A010000}"/>
    <cellStyle name="Moneda 16 2 2 4" xfId="717" xr:uid="{00000000-0005-0000-0000-00002B010000}"/>
    <cellStyle name="Moneda 16 2 3" xfId="431" xr:uid="{00000000-0005-0000-0000-00002C010000}"/>
    <cellStyle name="Moneda 16 2 3 2" xfId="432" xr:uid="{00000000-0005-0000-0000-00002D010000}"/>
    <cellStyle name="Moneda 16 2 3 2 2" xfId="718" xr:uid="{00000000-0005-0000-0000-00002E010000}"/>
    <cellStyle name="Moneda 16 2 3 3" xfId="610" xr:uid="{00000000-0005-0000-0000-00002F010000}"/>
    <cellStyle name="Moneda 16 2 3 3 2" xfId="719" xr:uid="{00000000-0005-0000-0000-000030010000}"/>
    <cellStyle name="Moneda 16 2 3 4" xfId="720" xr:uid="{00000000-0005-0000-0000-000031010000}"/>
    <cellStyle name="Moneda 16 2 4" xfId="382" xr:uid="{00000000-0005-0000-0000-000032010000}"/>
    <cellStyle name="Moneda 16 2 4 2" xfId="721" xr:uid="{00000000-0005-0000-0000-000033010000}"/>
    <cellStyle name="Moneda 16 2 4 2 2" xfId="998" xr:uid="{00000000-0005-0000-0000-000034010000}"/>
    <cellStyle name="Moneda 16 2 5" xfId="433" xr:uid="{00000000-0005-0000-0000-000035010000}"/>
    <cellStyle name="Moneda 16 2 5 2" xfId="722" xr:uid="{00000000-0005-0000-0000-000036010000}"/>
    <cellStyle name="Moneda 16 2 6" xfId="434" xr:uid="{00000000-0005-0000-0000-000037010000}"/>
    <cellStyle name="Moneda 16 2 6 2" xfId="723" xr:uid="{00000000-0005-0000-0000-000038010000}"/>
    <cellStyle name="Moneda 16 2 7" xfId="611" xr:uid="{00000000-0005-0000-0000-000039010000}"/>
    <cellStyle name="Moneda 16 2 7 2" xfId="724" xr:uid="{00000000-0005-0000-0000-00003A010000}"/>
    <cellStyle name="Moneda 16 2 8" xfId="725" xr:uid="{00000000-0005-0000-0000-00003B010000}"/>
    <cellStyle name="Moneda 16 3" xfId="435" xr:uid="{00000000-0005-0000-0000-00003C010000}"/>
    <cellStyle name="Moneda 16 3 2" xfId="436" xr:uid="{00000000-0005-0000-0000-00003D010000}"/>
    <cellStyle name="Moneda 16 3 2 2" xfId="726" xr:uid="{00000000-0005-0000-0000-00003E010000}"/>
    <cellStyle name="Moneda 16 3 3" xfId="612" xr:uid="{00000000-0005-0000-0000-00003F010000}"/>
    <cellStyle name="Moneda 16 3 3 2" xfId="727" xr:uid="{00000000-0005-0000-0000-000040010000}"/>
    <cellStyle name="Moneda 16 3 4" xfId="728" xr:uid="{00000000-0005-0000-0000-000041010000}"/>
    <cellStyle name="Moneda 16 4" xfId="437" xr:uid="{00000000-0005-0000-0000-000042010000}"/>
    <cellStyle name="Moneda 16 4 2" xfId="438" xr:uid="{00000000-0005-0000-0000-000043010000}"/>
    <cellStyle name="Moneda 16 4 2 2" xfId="729" xr:uid="{00000000-0005-0000-0000-000044010000}"/>
    <cellStyle name="Moneda 16 4 3" xfId="613" xr:uid="{00000000-0005-0000-0000-000045010000}"/>
    <cellStyle name="Moneda 16 4 3 2" xfId="730" xr:uid="{00000000-0005-0000-0000-000046010000}"/>
    <cellStyle name="Moneda 16 4 4" xfId="731" xr:uid="{00000000-0005-0000-0000-000047010000}"/>
    <cellStyle name="Moneda 16 5" xfId="439" xr:uid="{00000000-0005-0000-0000-000048010000}"/>
    <cellStyle name="Moneda 16 5 2" xfId="732" xr:uid="{00000000-0005-0000-0000-000049010000}"/>
    <cellStyle name="Moneda 16 6" xfId="440" xr:uid="{00000000-0005-0000-0000-00004A010000}"/>
    <cellStyle name="Moneda 16 6 2" xfId="733" xr:uid="{00000000-0005-0000-0000-00004B010000}"/>
    <cellStyle name="Moneda 16 7" xfId="441" xr:uid="{00000000-0005-0000-0000-00004C010000}"/>
    <cellStyle name="Moneda 16 7 2" xfId="734" xr:uid="{00000000-0005-0000-0000-00004D010000}"/>
    <cellStyle name="Moneda 16 8" xfId="614" xr:uid="{00000000-0005-0000-0000-00004E010000}"/>
    <cellStyle name="Moneda 16 8 2" xfId="735" xr:uid="{00000000-0005-0000-0000-00004F010000}"/>
    <cellStyle name="Moneda 16 9" xfId="736" xr:uid="{00000000-0005-0000-0000-000050010000}"/>
    <cellStyle name="Moneda 17" xfId="98" xr:uid="{00000000-0005-0000-0000-000051010000}"/>
    <cellStyle name="Moneda 17 10" xfId="737" xr:uid="{00000000-0005-0000-0000-000052010000}"/>
    <cellStyle name="Moneda 17 2" xfId="289" xr:uid="{00000000-0005-0000-0000-000053010000}"/>
    <cellStyle name="Moneda 17 2 2" xfId="442" xr:uid="{00000000-0005-0000-0000-000054010000}"/>
    <cellStyle name="Moneda 17 2 2 2" xfId="443" xr:uid="{00000000-0005-0000-0000-000055010000}"/>
    <cellStyle name="Moneda 17 2 2 2 2" xfId="738" xr:uid="{00000000-0005-0000-0000-000056010000}"/>
    <cellStyle name="Moneda 17 2 2 3" xfId="615" xr:uid="{00000000-0005-0000-0000-000057010000}"/>
    <cellStyle name="Moneda 17 2 2 3 2" xfId="739" xr:uid="{00000000-0005-0000-0000-000058010000}"/>
    <cellStyle name="Moneda 17 2 2 4" xfId="740" xr:uid="{00000000-0005-0000-0000-000059010000}"/>
    <cellStyle name="Moneda 17 2 3" xfId="444" xr:uid="{00000000-0005-0000-0000-00005A010000}"/>
    <cellStyle name="Moneda 17 2 3 2" xfId="445" xr:uid="{00000000-0005-0000-0000-00005B010000}"/>
    <cellStyle name="Moneda 17 2 3 2 2" xfId="741" xr:uid="{00000000-0005-0000-0000-00005C010000}"/>
    <cellStyle name="Moneda 17 2 3 3" xfId="616" xr:uid="{00000000-0005-0000-0000-00005D010000}"/>
    <cellStyle name="Moneda 17 2 3 3 2" xfId="742" xr:uid="{00000000-0005-0000-0000-00005E010000}"/>
    <cellStyle name="Moneda 17 2 3 4" xfId="743" xr:uid="{00000000-0005-0000-0000-00005F010000}"/>
    <cellStyle name="Moneda 17 2 4" xfId="446" xr:uid="{00000000-0005-0000-0000-000060010000}"/>
    <cellStyle name="Moneda 17 2 4 2" xfId="744" xr:uid="{00000000-0005-0000-0000-000061010000}"/>
    <cellStyle name="Moneda 17 2 5" xfId="447" xr:uid="{00000000-0005-0000-0000-000062010000}"/>
    <cellStyle name="Moneda 17 2 5 2" xfId="745" xr:uid="{00000000-0005-0000-0000-000063010000}"/>
    <cellStyle name="Moneda 17 2 6" xfId="448" xr:uid="{00000000-0005-0000-0000-000064010000}"/>
    <cellStyle name="Moneda 17 2 6 2" xfId="746" xr:uid="{00000000-0005-0000-0000-000065010000}"/>
    <cellStyle name="Moneda 17 2 7" xfId="617" xr:uid="{00000000-0005-0000-0000-000066010000}"/>
    <cellStyle name="Moneda 17 2 7 2" xfId="747" xr:uid="{00000000-0005-0000-0000-000067010000}"/>
    <cellStyle name="Moneda 17 2 8" xfId="748" xr:uid="{00000000-0005-0000-0000-000068010000}"/>
    <cellStyle name="Moneda 17 3" xfId="449" xr:uid="{00000000-0005-0000-0000-000069010000}"/>
    <cellStyle name="Moneda 17 3 2" xfId="450" xr:uid="{00000000-0005-0000-0000-00006A010000}"/>
    <cellStyle name="Moneda 17 3 2 2" xfId="749" xr:uid="{00000000-0005-0000-0000-00006B010000}"/>
    <cellStyle name="Moneda 17 3 3" xfId="618" xr:uid="{00000000-0005-0000-0000-00006C010000}"/>
    <cellStyle name="Moneda 17 3 3 2" xfId="750" xr:uid="{00000000-0005-0000-0000-00006D010000}"/>
    <cellStyle name="Moneda 17 3 4" xfId="751" xr:uid="{00000000-0005-0000-0000-00006E010000}"/>
    <cellStyle name="Moneda 17 4" xfId="451" xr:uid="{00000000-0005-0000-0000-00006F010000}"/>
    <cellStyle name="Moneda 17 4 2" xfId="452" xr:uid="{00000000-0005-0000-0000-000070010000}"/>
    <cellStyle name="Moneda 17 4 2 2" xfId="752" xr:uid="{00000000-0005-0000-0000-000071010000}"/>
    <cellStyle name="Moneda 17 4 3" xfId="619" xr:uid="{00000000-0005-0000-0000-000072010000}"/>
    <cellStyle name="Moneda 17 4 3 2" xfId="753" xr:uid="{00000000-0005-0000-0000-000073010000}"/>
    <cellStyle name="Moneda 17 4 4" xfId="754" xr:uid="{00000000-0005-0000-0000-000074010000}"/>
    <cellStyle name="Moneda 17 5" xfId="453" xr:uid="{00000000-0005-0000-0000-000075010000}"/>
    <cellStyle name="Moneda 17 5 2" xfId="755" xr:uid="{00000000-0005-0000-0000-000076010000}"/>
    <cellStyle name="Moneda 17 6" xfId="454" xr:uid="{00000000-0005-0000-0000-000077010000}"/>
    <cellStyle name="Moneda 17 6 2" xfId="756" xr:uid="{00000000-0005-0000-0000-000078010000}"/>
    <cellStyle name="Moneda 17 7" xfId="455" xr:uid="{00000000-0005-0000-0000-000079010000}"/>
    <cellStyle name="Moneda 17 7 2" xfId="757" xr:uid="{00000000-0005-0000-0000-00007A010000}"/>
    <cellStyle name="Moneda 17 8" xfId="456" xr:uid="{00000000-0005-0000-0000-00007B010000}"/>
    <cellStyle name="Moneda 17 8 2" xfId="758" xr:uid="{00000000-0005-0000-0000-00007C010000}"/>
    <cellStyle name="Moneda 17 9" xfId="620" xr:uid="{00000000-0005-0000-0000-00007D010000}"/>
    <cellStyle name="Moneda 17 9 2" xfId="759" xr:uid="{00000000-0005-0000-0000-00007E010000}"/>
    <cellStyle name="Moneda 18" xfId="290" xr:uid="{00000000-0005-0000-0000-00007F010000}"/>
    <cellStyle name="Moneda 18 2" xfId="457" xr:uid="{00000000-0005-0000-0000-000080010000}"/>
    <cellStyle name="Moneda 18 2 2" xfId="458" xr:uid="{00000000-0005-0000-0000-000081010000}"/>
    <cellStyle name="Moneda 18 2 2 2" xfId="760" xr:uid="{00000000-0005-0000-0000-000082010000}"/>
    <cellStyle name="Moneda 18 2 3" xfId="621" xr:uid="{00000000-0005-0000-0000-000083010000}"/>
    <cellStyle name="Moneda 18 2 3 2" xfId="761" xr:uid="{00000000-0005-0000-0000-000084010000}"/>
    <cellStyle name="Moneda 18 2 4" xfId="762" xr:uid="{00000000-0005-0000-0000-000085010000}"/>
    <cellStyle name="Moneda 18 3" xfId="459" xr:uid="{00000000-0005-0000-0000-000086010000}"/>
    <cellStyle name="Moneda 18 3 2" xfId="460" xr:uid="{00000000-0005-0000-0000-000087010000}"/>
    <cellStyle name="Moneda 18 3 2 2" xfId="763" xr:uid="{00000000-0005-0000-0000-000088010000}"/>
    <cellStyle name="Moneda 18 3 3" xfId="622" xr:uid="{00000000-0005-0000-0000-000089010000}"/>
    <cellStyle name="Moneda 18 3 3 2" xfId="764" xr:uid="{00000000-0005-0000-0000-00008A010000}"/>
    <cellStyle name="Moneda 18 3 4" xfId="765" xr:uid="{00000000-0005-0000-0000-00008B010000}"/>
    <cellStyle name="Moneda 18 4" xfId="461" xr:uid="{00000000-0005-0000-0000-00008C010000}"/>
    <cellStyle name="Moneda 18 4 2" xfId="766" xr:uid="{00000000-0005-0000-0000-00008D010000}"/>
    <cellStyle name="Moneda 18 5" xfId="462" xr:uid="{00000000-0005-0000-0000-00008E010000}"/>
    <cellStyle name="Moneda 18 5 2" xfId="767" xr:uid="{00000000-0005-0000-0000-00008F010000}"/>
    <cellStyle name="Moneda 18 6" xfId="463" xr:uid="{00000000-0005-0000-0000-000090010000}"/>
    <cellStyle name="Moneda 18 6 2" xfId="768" xr:uid="{00000000-0005-0000-0000-000091010000}"/>
    <cellStyle name="Moneda 18 7" xfId="623" xr:uid="{00000000-0005-0000-0000-000092010000}"/>
    <cellStyle name="Moneda 18 7 2" xfId="769" xr:uid="{00000000-0005-0000-0000-000093010000}"/>
    <cellStyle name="Moneda 18 8" xfId="770" xr:uid="{00000000-0005-0000-0000-000094010000}"/>
    <cellStyle name="Moneda 19" xfId="378" xr:uid="{00000000-0005-0000-0000-000095010000}"/>
    <cellStyle name="Moneda 2" xfId="73" xr:uid="{00000000-0005-0000-0000-000096010000}"/>
    <cellStyle name="Moneda 2 2" xfId="81" xr:uid="{00000000-0005-0000-0000-000097010000}"/>
    <cellStyle name="Moneda 2 2 2" xfId="291" xr:uid="{00000000-0005-0000-0000-000098010000}"/>
    <cellStyle name="Moneda 2 2 3" xfId="292" xr:uid="{00000000-0005-0000-0000-000099010000}"/>
    <cellStyle name="Moneda 2 2 4" xfId="88" xr:uid="{00000000-0005-0000-0000-00009A010000}"/>
    <cellStyle name="Moneda 2 3" xfId="156" xr:uid="{00000000-0005-0000-0000-00009B010000}"/>
    <cellStyle name="Moneda 2 3 2" xfId="293" xr:uid="{00000000-0005-0000-0000-00009C010000}"/>
    <cellStyle name="Moneda 2 4" xfId="294" xr:uid="{00000000-0005-0000-0000-00009D010000}"/>
    <cellStyle name="Moneda 2 4 2" xfId="295" xr:uid="{00000000-0005-0000-0000-00009E010000}"/>
    <cellStyle name="Moneda 2 5" xfId="296" xr:uid="{00000000-0005-0000-0000-00009F010000}"/>
    <cellStyle name="Moneda 2 6" xfId="143" xr:uid="{00000000-0005-0000-0000-0000A0010000}"/>
    <cellStyle name="Moneda 2 6 2" xfId="604" xr:uid="{00000000-0005-0000-0000-0000A1010000}"/>
    <cellStyle name="Moneda 2 7" xfId="388" xr:uid="{00000000-0005-0000-0000-0000A2010000}"/>
    <cellStyle name="Moneda 2 8" xfId="85" xr:uid="{00000000-0005-0000-0000-0000A3010000}"/>
    <cellStyle name="Moneda 20" xfId="379" xr:uid="{00000000-0005-0000-0000-0000A4010000}"/>
    <cellStyle name="Moneda 20 2" xfId="386" xr:uid="{00000000-0005-0000-0000-0000A5010000}"/>
    <cellStyle name="Moneda 20 2 2" xfId="771" xr:uid="{00000000-0005-0000-0000-0000A6010000}"/>
    <cellStyle name="Moneda 20 3" xfId="772" xr:uid="{00000000-0005-0000-0000-0000A7010000}"/>
    <cellStyle name="Moneda 21" xfId="464" xr:uid="{00000000-0005-0000-0000-0000A8010000}"/>
    <cellStyle name="Moneda 21 2" xfId="773" xr:uid="{00000000-0005-0000-0000-0000A9010000}"/>
    <cellStyle name="Moneda 22" xfId="391" xr:uid="{00000000-0005-0000-0000-0000AA010000}"/>
    <cellStyle name="Moneda 22 2" xfId="774" xr:uid="{00000000-0005-0000-0000-0000AB010000}"/>
    <cellStyle name="Moneda 23" xfId="374" xr:uid="{00000000-0005-0000-0000-0000AC010000}"/>
    <cellStyle name="Moneda 23 2" xfId="775" xr:uid="{00000000-0005-0000-0000-0000AD010000}"/>
    <cellStyle name="Moneda 3" xfId="72" xr:uid="{00000000-0005-0000-0000-0000AE010000}"/>
    <cellStyle name="Moneda 3 2" xfId="89" xr:uid="{00000000-0005-0000-0000-0000AF010000}"/>
    <cellStyle name="Moneda 3 2 2" xfId="297" xr:uid="{00000000-0005-0000-0000-0000B0010000}"/>
    <cellStyle name="Moneda 3 3" xfId="90" xr:uid="{00000000-0005-0000-0000-0000B1010000}"/>
    <cellStyle name="Moneda 3 3 2" xfId="298" xr:uid="{00000000-0005-0000-0000-0000B2010000}"/>
    <cellStyle name="Moneda 3 3 2 2" xfId="624" xr:uid="{00000000-0005-0000-0000-0000B3010000}"/>
    <cellStyle name="Moneda 3 3 3" xfId="465" xr:uid="{00000000-0005-0000-0000-0000B4010000}"/>
    <cellStyle name="Moneda 3 4" xfId="95" xr:uid="{00000000-0005-0000-0000-0000B5010000}"/>
    <cellStyle name="Moneda 3 4 2" xfId="299" xr:uid="{00000000-0005-0000-0000-0000B6010000}"/>
    <cellStyle name="Moneda 3 4 2 2" xfId="990" xr:uid="{00000000-0005-0000-0000-0000B7010000}"/>
    <cellStyle name="Moneda 3 5" xfId="384" xr:uid="{00000000-0005-0000-0000-0000B8010000}"/>
    <cellStyle name="Moneda 3 6" xfId="86" xr:uid="{00000000-0005-0000-0000-0000B9010000}"/>
    <cellStyle name="Moneda 4" xfId="80" xr:uid="{00000000-0005-0000-0000-0000BA010000}"/>
    <cellStyle name="Moneda 4 2" xfId="157" xr:uid="{00000000-0005-0000-0000-0000BB010000}"/>
    <cellStyle name="Moneda 4 2 2" xfId="300" xr:uid="{00000000-0005-0000-0000-0000BC010000}"/>
    <cellStyle name="Moneda 4 2 3" xfId="301" xr:uid="{00000000-0005-0000-0000-0000BD010000}"/>
    <cellStyle name="Moneda 4 2 4" xfId="302" xr:uid="{00000000-0005-0000-0000-0000BE010000}"/>
    <cellStyle name="Moneda 4 2 5" xfId="303" xr:uid="{00000000-0005-0000-0000-0000BF010000}"/>
    <cellStyle name="Moneda 4 2 6" xfId="176" xr:uid="{00000000-0005-0000-0000-0000C0010000}"/>
    <cellStyle name="Moneda 4 2 6 2" xfId="348" xr:uid="{00000000-0005-0000-0000-0000C1010000}"/>
    <cellStyle name="Moneda 4 2 7" xfId="466" xr:uid="{00000000-0005-0000-0000-0000C2010000}"/>
    <cellStyle name="Moneda 4 3" xfId="304" xr:uid="{00000000-0005-0000-0000-0000C3010000}"/>
    <cellStyle name="Moneda 4 4" xfId="305" xr:uid="{00000000-0005-0000-0000-0000C4010000}"/>
    <cellStyle name="Moneda 4 5" xfId="91" xr:uid="{00000000-0005-0000-0000-0000C5010000}"/>
    <cellStyle name="Moneda 5" xfId="92" xr:uid="{00000000-0005-0000-0000-0000C6010000}"/>
    <cellStyle name="Moneda 5 2" xfId="154" xr:uid="{00000000-0005-0000-0000-0000C7010000}"/>
    <cellStyle name="Moneda 5 2 2" xfId="467" xr:uid="{00000000-0005-0000-0000-0000C8010000}"/>
    <cellStyle name="Moneda 5 2 2 2" xfId="776" xr:uid="{00000000-0005-0000-0000-0000C9010000}"/>
    <cellStyle name="Moneda 5 2 3" xfId="468" xr:uid="{00000000-0005-0000-0000-0000CA010000}"/>
    <cellStyle name="Moneda 5 3" xfId="469" xr:uid="{00000000-0005-0000-0000-0000CB010000}"/>
    <cellStyle name="Moneda 6" xfId="144" xr:uid="{00000000-0005-0000-0000-0000CC010000}"/>
    <cellStyle name="Moneda 6 2" xfId="306" xr:uid="{00000000-0005-0000-0000-0000CD010000}"/>
    <cellStyle name="Moneda 6 3" xfId="470" xr:uid="{00000000-0005-0000-0000-0000CE010000}"/>
    <cellStyle name="Moneda 6 3 2" xfId="777" xr:uid="{00000000-0005-0000-0000-0000CF010000}"/>
    <cellStyle name="Moneda 6 4" xfId="471" xr:uid="{00000000-0005-0000-0000-0000D0010000}"/>
    <cellStyle name="Moneda 6 5" xfId="472" xr:uid="{00000000-0005-0000-0000-0000D1010000}"/>
    <cellStyle name="Moneda 7" xfId="145" xr:uid="{00000000-0005-0000-0000-0000D2010000}"/>
    <cellStyle name="Moneda 7 2" xfId="473" xr:uid="{00000000-0005-0000-0000-0000D3010000}"/>
    <cellStyle name="Moneda 7 2 2" xfId="778" xr:uid="{00000000-0005-0000-0000-0000D4010000}"/>
    <cellStyle name="Moneda 7 3" xfId="474" xr:uid="{00000000-0005-0000-0000-0000D5010000}"/>
    <cellStyle name="Moneda 8" xfId="96" xr:uid="{00000000-0005-0000-0000-0000D6010000}"/>
    <cellStyle name="Moneda 8 2" xfId="307" xr:uid="{00000000-0005-0000-0000-0000D7010000}"/>
    <cellStyle name="Moneda 8 3" xfId="308" xr:uid="{00000000-0005-0000-0000-0000D8010000}"/>
    <cellStyle name="Moneda 8 4" xfId="146" xr:uid="{00000000-0005-0000-0000-0000D9010000}"/>
    <cellStyle name="Moneda 8 4 2" xfId="779" xr:uid="{00000000-0005-0000-0000-0000DA010000}"/>
    <cellStyle name="Moneda 8 5" xfId="475" xr:uid="{00000000-0005-0000-0000-0000DB010000}"/>
    <cellStyle name="Moneda 9" xfId="147" xr:uid="{00000000-0005-0000-0000-0000DC010000}"/>
    <cellStyle name="Moneda 9 2" xfId="309" xr:uid="{00000000-0005-0000-0000-0000DD010000}"/>
    <cellStyle name="Neutral 2" xfId="310" xr:uid="{00000000-0005-0000-0000-0000DE010000}"/>
    <cellStyle name="Neutral 3" xfId="311" xr:uid="{00000000-0005-0000-0000-0000DF010000}"/>
    <cellStyle name="Neutral 4" xfId="312" xr:uid="{00000000-0005-0000-0000-0000E0010000}"/>
    <cellStyle name="Neutral 5" xfId="313" xr:uid="{00000000-0005-0000-0000-0000E1010000}"/>
    <cellStyle name="Neutral 6" xfId="314" xr:uid="{00000000-0005-0000-0000-0000E2010000}"/>
    <cellStyle name="Neutral 7" xfId="101" xr:uid="{00000000-0005-0000-0000-0000E3010000}"/>
    <cellStyle name="Normal" xfId="0" builtinId="0"/>
    <cellStyle name="Normal 10" xfId="99" xr:uid="{00000000-0005-0000-0000-0000E5010000}"/>
    <cellStyle name="Normal 10 2" xfId="372" xr:uid="{00000000-0005-0000-0000-0000E6010000}"/>
    <cellStyle name="Normal 10 2 2" xfId="376" xr:uid="{00000000-0005-0000-0000-0000E7010000}"/>
    <cellStyle name="Normal 10 3" xfId="387" xr:uid="{00000000-0005-0000-0000-0000E8010000}"/>
    <cellStyle name="Normal 10 3 2" xfId="780" xr:uid="{00000000-0005-0000-0000-0000E9010000}"/>
    <cellStyle name="Normal 10 4" xfId="625" xr:uid="{00000000-0005-0000-0000-0000EA010000}"/>
    <cellStyle name="Normal 10 4 2" xfId="781" xr:uid="{00000000-0005-0000-0000-0000EB010000}"/>
    <cellStyle name="Normal 10 5" xfId="782" xr:uid="{00000000-0005-0000-0000-0000EC010000}"/>
    <cellStyle name="Normal 11" xfId="377" xr:uid="{00000000-0005-0000-0000-0000ED010000}"/>
    <cellStyle name="Normal 11 2" xfId="476" xr:uid="{00000000-0005-0000-0000-0000EE010000}"/>
    <cellStyle name="Normal 11 3" xfId="626" xr:uid="{00000000-0005-0000-0000-0000EF010000}"/>
    <cellStyle name="Normal 12" xfId="380" xr:uid="{00000000-0005-0000-0000-0000F0010000}"/>
    <cellStyle name="Normal 12 2" xfId="602" xr:uid="{00000000-0005-0000-0000-0000F1010000}"/>
    <cellStyle name="Normal 12 2 2" xfId="783" xr:uid="{00000000-0005-0000-0000-0000F2010000}"/>
    <cellStyle name="Normal 12 2 2 2" xfId="997" xr:uid="{00000000-0005-0000-0000-0000F3010000}"/>
    <cellStyle name="Normal 12 3" xfId="784" xr:uid="{00000000-0005-0000-0000-0000F4010000}"/>
    <cellStyle name="Normal 13" xfId="477" xr:uid="{00000000-0005-0000-0000-0000F5010000}"/>
    <cellStyle name="Normal 13 2" xfId="785" xr:uid="{00000000-0005-0000-0000-0000F6010000}"/>
    <cellStyle name="Normal 13 2 2" xfId="786" xr:uid="{00000000-0005-0000-0000-0000F7010000}"/>
    <cellStyle name="Normal 13 3" xfId="991" xr:uid="{00000000-0005-0000-0000-0000F8010000}"/>
    <cellStyle name="Normal 14" xfId="390" xr:uid="{00000000-0005-0000-0000-0000F9010000}"/>
    <cellStyle name="Normal 14 2" xfId="787" xr:uid="{00000000-0005-0000-0000-0000FA010000}"/>
    <cellStyle name="Normal 15" xfId="478" xr:uid="{00000000-0005-0000-0000-0000FB010000}"/>
    <cellStyle name="Normal 15 2" xfId="788" xr:uid="{00000000-0005-0000-0000-0000FC010000}"/>
    <cellStyle name="Normal 16" xfId="381" xr:uid="{00000000-0005-0000-0000-0000FD010000}"/>
    <cellStyle name="Normal 16 2" xfId="789" xr:uid="{00000000-0005-0000-0000-0000FE010000}"/>
    <cellStyle name="Normal 17" xfId="373" xr:uid="{00000000-0005-0000-0000-0000FF010000}"/>
    <cellStyle name="Normal 17 2" xfId="790" xr:uid="{00000000-0005-0000-0000-000000020000}"/>
    <cellStyle name="Normal 17 2 2" xfId="994" xr:uid="{00000000-0005-0000-0000-000001020000}"/>
    <cellStyle name="Normal 17 3" xfId="993" xr:uid="{00000000-0005-0000-0000-000002020000}"/>
    <cellStyle name="Normal 18" xfId="992" xr:uid="{00000000-0005-0000-0000-000003020000}"/>
    <cellStyle name="Normal 18 2" xfId="999" xr:uid="{00000000-0005-0000-0000-000004020000}"/>
    <cellStyle name="Normal 19" xfId="1036" xr:uid="{00000000-0005-0000-0000-000005020000}"/>
    <cellStyle name="Normal 2" xfId="2" xr:uid="{00000000-0005-0000-0000-000006020000}"/>
    <cellStyle name="Normal 2 10" xfId="371" xr:uid="{00000000-0005-0000-0000-000007020000}"/>
    <cellStyle name="Normal 2 2" xfId="74" xr:uid="{00000000-0005-0000-0000-000008020000}"/>
    <cellStyle name="Normal 2 2 2" xfId="175" xr:uid="{00000000-0005-0000-0000-000009020000}"/>
    <cellStyle name="Normal 3" xfId="3" xr:uid="{00000000-0005-0000-0000-00000A020000}"/>
    <cellStyle name="Normal 3 2" xfId="7" xr:uid="{00000000-0005-0000-0000-00000B020000}"/>
    <cellStyle name="Normal 3 2 2" xfId="13" xr:uid="{00000000-0005-0000-0000-00000C020000}"/>
    <cellStyle name="Normal 3 2 2 2" xfId="25" xr:uid="{00000000-0005-0000-0000-00000D020000}"/>
    <cellStyle name="Normal 3 2 2 3" xfId="37" xr:uid="{00000000-0005-0000-0000-00000E020000}"/>
    <cellStyle name="Normal 3 2 2 4" xfId="49" xr:uid="{00000000-0005-0000-0000-00000F020000}"/>
    <cellStyle name="Normal 3 2 2 5" xfId="61" xr:uid="{00000000-0005-0000-0000-000010020000}"/>
    <cellStyle name="Normal 3 2 3" xfId="19" xr:uid="{00000000-0005-0000-0000-000011020000}"/>
    <cellStyle name="Normal 3 2 4" xfId="31" xr:uid="{00000000-0005-0000-0000-000012020000}"/>
    <cellStyle name="Normal 3 2 5" xfId="43" xr:uid="{00000000-0005-0000-0000-000013020000}"/>
    <cellStyle name="Normal 3 2 6" xfId="55" xr:uid="{00000000-0005-0000-0000-000014020000}"/>
    <cellStyle name="Normal 3 2 6 2" xfId="66" xr:uid="{00000000-0005-0000-0000-000015020000}"/>
    <cellStyle name="Normal 3 2 7" xfId="168" xr:uid="{00000000-0005-0000-0000-000016020000}"/>
    <cellStyle name="Normal 3 3" xfId="5" xr:uid="{00000000-0005-0000-0000-000017020000}"/>
    <cellStyle name="Normal 3 3 2" xfId="11" xr:uid="{00000000-0005-0000-0000-000018020000}"/>
    <cellStyle name="Normal 3 3 2 2" xfId="23" xr:uid="{00000000-0005-0000-0000-000019020000}"/>
    <cellStyle name="Normal 3 3 2 2 2" xfId="791" xr:uid="{00000000-0005-0000-0000-00001A020000}"/>
    <cellStyle name="Normal 3 3 2 3" xfId="35" xr:uid="{00000000-0005-0000-0000-00001B020000}"/>
    <cellStyle name="Normal 3 3 2 3 2" xfId="792" xr:uid="{00000000-0005-0000-0000-00001C020000}"/>
    <cellStyle name="Normal 3 3 2 4" xfId="47" xr:uid="{00000000-0005-0000-0000-00001D020000}"/>
    <cellStyle name="Normal 3 3 2 5" xfId="59" xr:uid="{00000000-0005-0000-0000-00001E020000}"/>
    <cellStyle name="Normal 3 3 3" xfId="17" xr:uid="{00000000-0005-0000-0000-00001F020000}"/>
    <cellStyle name="Normal 3 3 3 2" xfId="479" xr:uid="{00000000-0005-0000-0000-000020020000}"/>
    <cellStyle name="Normal 3 3 3 2 2" xfId="793" xr:uid="{00000000-0005-0000-0000-000021020000}"/>
    <cellStyle name="Normal 3 3 3 3" xfId="627" xr:uid="{00000000-0005-0000-0000-000022020000}"/>
    <cellStyle name="Normal 3 3 3 3 2" xfId="794" xr:uid="{00000000-0005-0000-0000-000023020000}"/>
    <cellStyle name="Normal 3 3 3 4" xfId="795" xr:uid="{00000000-0005-0000-0000-000024020000}"/>
    <cellStyle name="Normal 3 3 4" xfId="29" xr:uid="{00000000-0005-0000-0000-000025020000}"/>
    <cellStyle name="Normal 3 3 4 2" xfId="796" xr:uid="{00000000-0005-0000-0000-000026020000}"/>
    <cellStyle name="Normal 3 3 5" xfId="41" xr:uid="{00000000-0005-0000-0000-000027020000}"/>
    <cellStyle name="Normal 3 3 5 2" xfId="797" xr:uid="{00000000-0005-0000-0000-000028020000}"/>
    <cellStyle name="Normal 3 3 6" xfId="53" xr:uid="{00000000-0005-0000-0000-000029020000}"/>
    <cellStyle name="Normal 3 3 6 2" xfId="798" xr:uid="{00000000-0005-0000-0000-00002A020000}"/>
    <cellStyle name="Normal 3 3 7" xfId="628" xr:uid="{00000000-0005-0000-0000-00002B020000}"/>
    <cellStyle name="Normal 3 3 7 2" xfId="799" xr:uid="{00000000-0005-0000-0000-00002C020000}"/>
    <cellStyle name="Normal 3 3 8" xfId="800" xr:uid="{00000000-0005-0000-0000-00002D020000}"/>
    <cellStyle name="Normal 3 4" xfId="9" xr:uid="{00000000-0005-0000-0000-00002E020000}"/>
    <cellStyle name="Normal 3 4 2" xfId="21" xr:uid="{00000000-0005-0000-0000-00002F020000}"/>
    <cellStyle name="Normal 3 4 3" xfId="33" xr:uid="{00000000-0005-0000-0000-000030020000}"/>
    <cellStyle name="Normal 3 4 4" xfId="45" xr:uid="{00000000-0005-0000-0000-000031020000}"/>
    <cellStyle name="Normal 3 4 5" xfId="57" xr:uid="{00000000-0005-0000-0000-000032020000}"/>
    <cellStyle name="Normal 3 4 6" xfId="315" xr:uid="{00000000-0005-0000-0000-000033020000}"/>
    <cellStyle name="Normal 3 5" xfId="15" xr:uid="{00000000-0005-0000-0000-000034020000}"/>
    <cellStyle name="Normal 3 5 2" xfId="64" xr:uid="{00000000-0005-0000-0000-000035020000}"/>
    <cellStyle name="Normal 3 6" xfId="27" xr:uid="{00000000-0005-0000-0000-000036020000}"/>
    <cellStyle name="Normal 3 7" xfId="39" xr:uid="{00000000-0005-0000-0000-000037020000}"/>
    <cellStyle name="Normal 3 8" xfId="51" xr:uid="{00000000-0005-0000-0000-000038020000}"/>
    <cellStyle name="Normal 3 8 2" xfId="65" xr:uid="{00000000-0005-0000-0000-000039020000}"/>
    <cellStyle name="Normal 3 9" xfId="70" xr:uid="{00000000-0005-0000-0000-00003A020000}"/>
    <cellStyle name="Normal 4" xfId="1" xr:uid="{00000000-0005-0000-0000-00003B020000}"/>
    <cellStyle name="Normal 4 10" xfId="480" xr:uid="{00000000-0005-0000-0000-00003C020000}"/>
    <cellStyle name="Normal 4 10 2" xfId="801" xr:uid="{00000000-0005-0000-0000-00003D020000}"/>
    <cellStyle name="Normal 4 11" xfId="629" xr:uid="{00000000-0005-0000-0000-00003E020000}"/>
    <cellStyle name="Normal 4 11 2" xfId="802" xr:uid="{00000000-0005-0000-0000-00003F020000}"/>
    <cellStyle name="Normal 4 12" xfId="803" xr:uid="{00000000-0005-0000-0000-000040020000}"/>
    <cellStyle name="Normal 4 13" xfId="93" xr:uid="{00000000-0005-0000-0000-000041020000}"/>
    <cellStyle name="Normal 4 2" xfId="82" xr:uid="{00000000-0005-0000-0000-000042020000}"/>
    <cellStyle name="Normal 4 2 2" xfId="481" xr:uid="{00000000-0005-0000-0000-000043020000}"/>
    <cellStyle name="Normal 4 2 2 2" xfId="482" xr:uid="{00000000-0005-0000-0000-000044020000}"/>
    <cellStyle name="Normal 4 2 2 2 2" xfId="804" xr:uid="{00000000-0005-0000-0000-000045020000}"/>
    <cellStyle name="Normal 4 2 2 3" xfId="630" xr:uid="{00000000-0005-0000-0000-000046020000}"/>
    <cellStyle name="Normal 4 2 2 3 2" xfId="805" xr:uid="{00000000-0005-0000-0000-000047020000}"/>
    <cellStyle name="Normal 4 2 2 4" xfId="806" xr:uid="{00000000-0005-0000-0000-000048020000}"/>
    <cellStyle name="Normal 4 2 3" xfId="483" xr:uid="{00000000-0005-0000-0000-000049020000}"/>
    <cellStyle name="Normal 4 2 3 2" xfId="484" xr:uid="{00000000-0005-0000-0000-00004A020000}"/>
    <cellStyle name="Normal 4 2 3 2 2" xfId="807" xr:uid="{00000000-0005-0000-0000-00004B020000}"/>
    <cellStyle name="Normal 4 2 3 3" xfId="631" xr:uid="{00000000-0005-0000-0000-00004C020000}"/>
    <cellStyle name="Normal 4 2 3 3 2" xfId="808" xr:uid="{00000000-0005-0000-0000-00004D020000}"/>
    <cellStyle name="Normal 4 2 3 4" xfId="809" xr:uid="{00000000-0005-0000-0000-00004E020000}"/>
    <cellStyle name="Normal 4 2 4" xfId="485" xr:uid="{00000000-0005-0000-0000-00004F020000}"/>
    <cellStyle name="Normal 4 2 4 2" xfId="810" xr:uid="{00000000-0005-0000-0000-000050020000}"/>
    <cellStyle name="Normal 4 2 5" xfId="486" xr:uid="{00000000-0005-0000-0000-000051020000}"/>
    <cellStyle name="Normal 4 2 5 2" xfId="811" xr:uid="{00000000-0005-0000-0000-000052020000}"/>
    <cellStyle name="Normal 4 2 6" xfId="487" xr:uid="{00000000-0005-0000-0000-000053020000}"/>
    <cellStyle name="Normal 4 2 6 2" xfId="812" xr:uid="{00000000-0005-0000-0000-000054020000}"/>
    <cellStyle name="Normal 4 2 7" xfId="632" xr:uid="{00000000-0005-0000-0000-000055020000}"/>
    <cellStyle name="Normal 4 2 7 2" xfId="813" xr:uid="{00000000-0005-0000-0000-000056020000}"/>
    <cellStyle name="Normal 4 2 8" xfId="814" xr:uid="{00000000-0005-0000-0000-000057020000}"/>
    <cellStyle name="Normal 4 3" xfId="167" xr:uid="{00000000-0005-0000-0000-000058020000}"/>
    <cellStyle name="Normal 4 3 2" xfId="488" xr:uid="{00000000-0005-0000-0000-000059020000}"/>
    <cellStyle name="Normal 4 3 2 2" xfId="489" xr:uid="{00000000-0005-0000-0000-00005A020000}"/>
    <cellStyle name="Normal 4 3 2 2 2" xfId="815" xr:uid="{00000000-0005-0000-0000-00005B020000}"/>
    <cellStyle name="Normal 4 3 2 3" xfId="633" xr:uid="{00000000-0005-0000-0000-00005C020000}"/>
    <cellStyle name="Normal 4 3 2 3 2" xfId="816" xr:uid="{00000000-0005-0000-0000-00005D020000}"/>
    <cellStyle name="Normal 4 3 2 4" xfId="817" xr:uid="{00000000-0005-0000-0000-00005E020000}"/>
    <cellStyle name="Normal 4 3 3" xfId="490" xr:uid="{00000000-0005-0000-0000-00005F020000}"/>
    <cellStyle name="Normal 4 3 3 2" xfId="491" xr:uid="{00000000-0005-0000-0000-000060020000}"/>
    <cellStyle name="Normal 4 3 3 2 2" xfId="818" xr:uid="{00000000-0005-0000-0000-000061020000}"/>
    <cellStyle name="Normal 4 3 3 3" xfId="634" xr:uid="{00000000-0005-0000-0000-000062020000}"/>
    <cellStyle name="Normal 4 3 3 3 2" xfId="819" xr:uid="{00000000-0005-0000-0000-000063020000}"/>
    <cellStyle name="Normal 4 3 3 4" xfId="820" xr:uid="{00000000-0005-0000-0000-000064020000}"/>
    <cellStyle name="Normal 4 3 4" xfId="492" xr:uid="{00000000-0005-0000-0000-000065020000}"/>
    <cellStyle name="Normal 4 3 4 2" xfId="821" xr:uid="{00000000-0005-0000-0000-000066020000}"/>
    <cellStyle name="Normal 4 3 5" xfId="493" xr:uid="{00000000-0005-0000-0000-000067020000}"/>
    <cellStyle name="Normal 4 3 5 2" xfId="822" xr:uid="{00000000-0005-0000-0000-000068020000}"/>
    <cellStyle name="Normal 4 3 6" xfId="494" xr:uid="{00000000-0005-0000-0000-000069020000}"/>
    <cellStyle name="Normal 4 3 6 2" xfId="823" xr:uid="{00000000-0005-0000-0000-00006A020000}"/>
    <cellStyle name="Normal 4 3 7" xfId="635" xr:uid="{00000000-0005-0000-0000-00006B020000}"/>
    <cellStyle name="Normal 4 3 7 2" xfId="824" xr:uid="{00000000-0005-0000-0000-00006C020000}"/>
    <cellStyle name="Normal 4 3 8" xfId="825" xr:uid="{00000000-0005-0000-0000-00006D020000}"/>
    <cellStyle name="Normal 4 4" xfId="350" xr:uid="{00000000-0005-0000-0000-00006E020000}"/>
    <cellStyle name="Normal 4 4 2" xfId="366" xr:uid="{00000000-0005-0000-0000-00006F020000}"/>
    <cellStyle name="Normal 4 4 2 2" xfId="495" xr:uid="{00000000-0005-0000-0000-000070020000}"/>
    <cellStyle name="Normal 4 4 2 2 2" xfId="496" xr:uid="{00000000-0005-0000-0000-000071020000}"/>
    <cellStyle name="Normal 4 4 2 2 2 2" xfId="826" xr:uid="{00000000-0005-0000-0000-000072020000}"/>
    <cellStyle name="Normal 4 4 2 2 3" xfId="636" xr:uid="{00000000-0005-0000-0000-000073020000}"/>
    <cellStyle name="Normal 4 4 2 2 3 2" xfId="827" xr:uid="{00000000-0005-0000-0000-000074020000}"/>
    <cellStyle name="Normal 4 4 2 2 4" xfId="828" xr:uid="{00000000-0005-0000-0000-000075020000}"/>
    <cellStyle name="Normal 4 4 2 3" xfId="497" xr:uid="{00000000-0005-0000-0000-000076020000}"/>
    <cellStyle name="Normal 4 4 2 3 2" xfId="498" xr:uid="{00000000-0005-0000-0000-000077020000}"/>
    <cellStyle name="Normal 4 4 2 3 2 2" xfId="829" xr:uid="{00000000-0005-0000-0000-000078020000}"/>
    <cellStyle name="Normal 4 4 2 3 3" xfId="637" xr:uid="{00000000-0005-0000-0000-000079020000}"/>
    <cellStyle name="Normal 4 4 2 3 3 2" xfId="830" xr:uid="{00000000-0005-0000-0000-00007A020000}"/>
    <cellStyle name="Normal 4 4 2 3 4" xfId="831" xr:uid="{00000000-0005-0000-0000-00007B020000}"/>
    <cellStyle name="Normal 4 4 2 4" xfId="499" xr:uid="{00000000-0005-0000-0000-00007C020000}"/>
    <cellStyle name="Normal 4 4 2 4 2" xfId="832" xr:uid="{00000000-0005-0000-0000-00007D020000}"/>
    <cellStyle name="Normal 4 4 2 5" xfId="500" xr:uid="{00000000-0005-0000-0000-00007E020000}"/>
    <cellStyle name="Normal 4 4 2 5 2" xfId="833" xr:uid="{00000000-0005-0000-0000-00007F020000}"/>
    <cellStyle name="Normal 4 4 2 6" xfId="501" xr:uid="{00000000-0005-0000-0000-000080020000}"/>
    <cellStyle name="Normal 4 4 2 6 2" xfId="834" xr:uid="{00000000-0005-0000-0000-000081020000}"/>
    <cellStyle name="Normal 4 4 2 7" xfId="638" xr:uid="{00000000-0005-0000-0000-000082020000}"/>
    <cellStyle name="Normal 4 4 2 7 2" xfId="835" xr:uid="{00000000-0005-0000-0000-000083020000}"/>
    <cellStyle name="Normal 4 4 2 8" xfId="836" xr:uid="{00000000-0005-0000-0000-000084020000}"/>
    <cellStyle name="Normal 4 4 3" xfId="502" xr:uid="{00000000-0005-0000-0000-000085020000}"/>
    <cellStyle name="Normal 4 4 3 2" xfId="503" xr:uid="{00000000-0005-0000-0000-000086020000}"/>
    <cellStyle name="Normal 4 4 3 2 2" xfId="837" xr:uid="{00000000-0005-0000-0000-000087020000}"/>
    <cellStyle name="Normal 4 4 3 3" xfId="639" xr:uid="{00000000-0005-0000-0000-000088020000}"/>
    <cellStyle name="Normal 4 4 3 3 2" xfId="838" xr:uid="{00000000-0005-0000-0000-000089020000}"/>
    <cellStyle name="Normal 4 4 3 4" xfId="839" xr:uid="{00000000-0005-0000-0000-00008A020000}"/>
    <cellStyle name="Normal 4 4 4" xfId="504" xr:uid="{00000000-0005-0000-0000-00008B020000}"/>
    <cellStyle name="Normal 4 4 4 2" xfId="505" xr:uid="{00000000-0005-0000-0000-00008C020000}"/>
    <cellStyle name="Normal 4 4 4 2 2" xfId="840" xr:uid="{00000000-0005-0000-0000-00008D020000}"/>
    <cellStyle name="Normal 4 4 4 3" xfId="640" xr:uid="{00000000-0005-0000-0000-00008E020000}"/>
    <cellStyle name="Normal 4 4 4 3 2" xfId="841" xr:uid="{00000000-0005-0000-0000-00008F020000}"/>
    <cellStyle name="Normal 4 4 4 4" xfId="842" xr:uid="{00000000-0005-0000-0000-000090020000}"/>
    <cellStyle name="Normal 4 4 5" xfId="506" xr:uid="{00000000-0005-0000-0000-000091020000}"/>
    <cellStyle name="Normal 4 4 5 2" xfId="843" xr:uid="{00000000-0005-0000-0000-000092020000}"/>
    <cellStyle name="Normal 4 4 6" xfId="507" xr:uid="{00000000-0005-0000-0000-000093020000}"/>
    <cellStyle name="Normal 4 4 6 2" xfId="844" xr:uid="{00000000-0005-0000-0000-000094020000}"/>
    <cellStyle name="Normal 4 4 7" xfId="508" xr:uid="{00000000-0005-0000-0000-000095020000}"/>
    <cellStyle name="Normal 4 4 7 2" xfId="845" xr:uid="{00000000-0005-0000-0000-000096020000}"/>
    <cellStyle name="Normal 4 4 8" xfId="641" xr:uid="{00000000-0005-0000-0000-000097020000}"/>
    <cellStyle name="Normal 4 4 8 2" xfId="846" xr:uid="{00000000-0005-0000-0000-000098020000}"/>
    <cellStyle name="Normal 4 4 9" xfId="847" xr:uid="{00000000-0005-0000-0000-000099020000}"/>
    <cellStyle name="Normal 4 5" xfId="141" xr:uid="{00000000-0005-0000-0000-00009A020000}"/>
    <cellStyle name="Normal 4 5 2" xfId="509" xr:uid="{00000000-0005-0000-0000-00009B020000}"/>
    <cellStyle name="Normal 4 5 2 2" xfId="848" xr:uid="{00000000-0005-0000-0000-00009C020000}"/>
    <cellStyle name="Normal 4 5 3" xfId="642" xr:uid="{00000000-0005-0000-0000-00009D020000}"/>
    <cellStyle name="Normal 4 5 3 2" xfId="849" xr:uid="{00000000-0005-0000-0000-00009E020000}"/>
    <cellStyle name="Normal 4 5 4" xfId="850" xr:uid="{00000000-0005-0000-0000-00009F020000}"/>
    <cellStyle name="Normal 4 6" xfId="510" xr:uid="{00000000-0005-0000-0000-0000A0020000}"/>
    <cellStyle name="Normal 4 6 2" xfId="511" xr:uid="{00000000-0005-0000-0000-0000A1020000}"/>
    <cellStyle name="Normal 4 6 2 2" xfId="851" xr:uid="{00000000-0005-0000-0000-0000A2020000}"/>
    <cellStyle name="Normal 4 6 3" xfId="643" xr:uid="{00000000-0005-0000-0000-0000A3020000}"/>
    <cellStyle name="Normal 4 6 3 2" xfId="852" xr:uid="{00000000-0005-0000-0000-0000A4020000}"/>
    <cellStyle name="Normal 4 6 4" xfId="853" xr:uid="{00000000-0005-0000-0000-0000A5020000}"/>
    <cellStyle name="Normal 4 7" xfId="512" xr:uid="{00000000-0005-0000-0000-0000A6020000}"/>
    <cellStyle name="Normal 4 7 2" xfId="854" xr:uid="{00000000-0005-0000-0000-0000A7020000}"/>
    <cellStyle name="Normal 4 8" xfId="513" xr:uid="{00000000-0005-0000-0000-0000A8020000}"/>
    <cellStyle name="Normal 4 9" xfId="514" xr:uid="{00000000-0005-0000-0000-0000A9020000}"/>
    <cellStyle name="Normal 4 9 2" xfId="855" xr:uid="{00000000-0005-0000-0000-0000AA020000}"/>
    <cellStyle name="Normal 5" xfId="75" xr:uid="{00000000-0005-0000-0000-0000AB020000}"/>
    <cellStyle name="Normal 5 2" xfId="362" xr:uid="{00000000-0005-0000-0000-0000AC020000}"/>
    <cellStyle name="Normal 6" xfId="169" xr:uid="{00000000-0005-0000-0000-0000AD020000}"/>
    <cellStyle name="Normal 6 10" xfId="856" xr:uid="{00000000-0005-0000-0000-0000AE020000}"/>
    <cellStyle name="Normal 6 2" xfId="316" xr:uid="{00000000-0005-0000-0000-0000AF020000}"/>
    <cellStyle name="Normal 6 2 2" xfId="515" xr:uid="{00000000-0005-0000-0000-0000B0020000}"/>
    <cellStyle name="Normal 6 2 2 2" xfId="516" xr:uid="{00000000-0005-0000-0000-0000B1020000}"/>
    <cellStyle name="Normal 6 2 2 2 2" xfId="857" xr:uid="{00000000-0005-0000-0000-0000B2020000}"/>
    <cellStyle name="Normal 6 2 2 3" xfId="644" xr:uid="{00000000-0005-0000-0000-0000B3020000}"/>
    <cellStyle name="Normal 6 2 2 3 2" xfId="858" xr:uid="{00000000-0005-0000-0000-0000B4020000}"/>
    <cellStyle name="Normal 6 2 2 4" xfId="859" xr:uid="{00000000-0005-0000-0000-0000B5020000}"/>
    <cellStyle name="Normal 6 2 3" xfId="517" xr:uid="{00000000-0005-0000-0000-0000B6020000}"/>
    <cellStyle name="Normal 6 2 3 2" xfId="518" xr:uid="{00000000-0005-0000-0000-0000B7020000}"/>
    <cellStyle name="Normal 6 2 3 2 2" xfId="860" xr:uid="{00000000-0005-0000-0000-0000B8020000}"/>
    <cellStyle name="Normal 6 2 3 3" xfId="645" xr:uid="{00000000-0005-0000-0000-0000B9020000}"/>
    <cellStyle name="Normal 6 2 3 3 2" xfId="861" xr:uid="{00000000-0005-0000-0000-0000BA020000}"/>
    <cellStyle name="Normal 6 2 3 4" xfId="862" xr:uid="{00000000-0005-0000-0000-0000BB020000}"/>
    <cellStyle name="Normal 6 2 4" xfId="519" xr:uid="{00000000-0005-0000-0000-0000BC020000}"/>
    <cellStyle name="Normal 6 2 4 2" xfId="863" xr:uid="{00000000-0005-0000-0000-0000BD020000}"/>
    <cellStyle name="Normal 6 2 5" xfId="520" xr:uid="{00000000-0005-0000-0000-0000BE020000}"/>
    <cellStyle name="Normal 6 2 5 2" xfId="864" xr:uid="{00000000-0005-0000-0000-0000BF020000}"/>
    <cellStyle name="Normal 6 2 6" xfId="521" xr:uid="{00000000-0005-0000-0000-0000C0020000}"/>
    <cellStyle name="Normal 6 2 6 2" xfId="865" xr:uid="{00000000-0005-0000-0000-0000C1020000}"/>
    <cellStyle name="Normal 6 2 7" xfId="646" xr:uid="{00000000-0005-0000-0000-0000C2020000}"/>
    <cellStyle name="Normal 6 2 7 2" xfId="866" xr:uid="{00000000-0005-0000-0000-0000C3020000}"/>
    <cellStyle name="Normal 6 2 8" xfId="867" xr:uid="{00000000-0005-0000-0000-0000C4020000}"/>
    <cellStyle name="Normal 6 3" xfId="363" xr:uid="{00000000-0005-0000-0000-0000C5020000}"/>
    <cellStyle name="Normal 6 3 2" xfId="522" xr:uid="{00000000-0005-0000-0000-0000C6020000}"/>
    <cellStyle name="Normal 6 3 2 2" xfId="523" xr:uid="{00000000-0005-0000-0000-0000C7020000}"/>
    <cellStyle name="Normal 6 3 2 2 2" xfId="868" xr:uid="{00000000-0005-0000-0000-0000C8020000}"/>
    <cellStyle name="Normal 6 3 2 3" xfId="647" xr:uid="{00000000-0005-0000-0000-0000C9020000}"/>
    <cellStyle name="Normal 6 3 2 3 2" xfId="869" xr:uid="{00000000-0005-0000-0000-0000CA020000}"/>
    <cellStyle name="Normal 6 3 2 4" xfId="870" xr:uid="{00000000-0005-0000-0000-0000CB020000}"/>
    <cellStyle name="Normal 6 3 3" xfId="524" xr:uid="{00000000-0005-0000-0000-0000CC020000}"/>
    <cellStyle name="Normal 6 3 3 2" xfId="525" xr:uid="{00000000-0005-0000-0000-0000CD020000}"/>
    <cellStyle name="Normal 6 3 3 2 2" xfId="871" xr:uid="{00000000-0005-0000-0000-0000CE020000}"/>
    <cellStyle name="Normal 6 3 3 3" xfId="648" xr:uid="{00000000-0005-0000-0000-0000CF020000}"/>
    <cellStyle name="Normal 6 3 3 3 2" xfId="872" xr:uid="{00000000-0005-0000-0000-0000D0020000}"/>
    <cellStyle name="Normal 6 3 3 4" xfId="873" xr:uid="{00000000-0005-0000-0000-0000D1020000}"/>
    <cellStyle name="Normal 6 3 4" xfId="526" xr:uid="{00000000-0005-0000-0000-0000D2020000}"/>
    <cellStyle name="Normal 6 3 4 2" xfId="874" xr:uid="{00000000-0005-0000-0000-0000D3020000}"/>
    <cellStyle name="Normal 6 3 5" xfId="527" xr:uid="{00000000-0005-0000-0000-0000D4020000}"/>
    <cellStyle name="Normal 6 3 5 2" xfId="875" xr:uid="{00000000-0005-0000-0000-0000D5020000}"/>
    <cellStyle name="Normal 6 3 6" xfId="528" xr:uid="{00000000-0005-0000-0000-0000D6020000}"/>
    <cellStyle name="Normal 6 3 6 2" xfId="876" xr:uid="{00000000-0005-0000-0000-0000D7020000}"/>
    <cellStyle name="Normal 6 3 7" xfId="649" xr:uid="{00000000-0005-0000-0000-0000D8020000}"/>
    <cellStyle name="Normal 6 3 7 2" xfId="877" xr:uid="{00000000-0005-0000-0000-0000D9020000}"/>
    <cellStyle name="Normal 6 3 8" xfId="878" xr:uid="{00000000-0005-0000-0000-0000DA020000}"/>
    <cellStyle name="Normal 6 4" xfId="529" xr:uid="{00000000-0005-0000-0000-0000DB020000}"/>
    <cellStyle name="Normal 6 4 2" xfId="530" xr:uid="{00000000-0005-0000-0000-0000DC020000}"/>
    <cellStyle name="Normal 6 4 2 2" xfId="879" xr:uid="{00000000-0005-0000-0000-0000DD020000}"/>
    <cellStyle name="Normal 6 4 3" xfId="650" xr:uid="{00000000-0005-0000-0000-0000DE020000}"/>
    <cellStyle name="Normal 6 4 3 2" xfId="880" xr:uid="{00000000-0005-0000-0000-0000DF020000}"/>
    <cellStyle name="Normal 6 4 4" xfId="881" xr:uid="{00000000-0005-0000-0000-0000E0020000}"/>
    <cellStyle name="Normal 6 5" xfId="531" xr:uid="{00000000-0005-0000-0000-0000E1020000}"/>
    <cellStyle name="Normal 6 5 2" xfId="532" xr:uid="{00000000-0005-0000-0000-0000E2020000}"/>
    <cellStyle name="Normal 6 5 2 2" xfId="882" xr:uid="{00000000-0005-0000-0000-0000E3020000}"/>
    <cellStyle name="Normal 6 5 3" xfId="651" xr:uid="{00000000-0005-0000-0000-0000E4020000}"/>
    <cellStyle name="Normal 6 5 3 2" xfId="883" xr:uid="{00000000-0005-0000-0000-0000E5020000}"/>
    <cellStyle name="Normal 6 5 4" xfId="884" xr:uid="{00000000-0005-0000-0000-0000E6020000}"/>
    <cellStyle name="Normal 6 6" xfId="533" xr:uid="{00000000-0005-0000-0000-0000E7020000}"/>
    <cellStyle name="Normal 6 6 2" xfId="885" xr:uid="{00000000-0005-0000-0000-0000E8020000}"/>
    <cellStyle name="Normal 6 7" xfId="534" xr:uid="{00000000-0005-0000-0000-0000E9020000}"/>
    <cellStyle name="Normal 6 7 2" xfId="886" xr:uid="{00000000-0005-0000-0000-0000EA020000}"/>
    <cellStyle name="Normal 6 8" xfId="535" xr:uid="{00000000-0005-0000-0000-0000EB020000}"/>
    <cellStyle name="Normal 6 8 2" xfId="887" xr:uid="{00000000-0005-0000-0000-0000EC020000}"/>
    <cellStyle name="Normal 6 9" xfId="652" xr:uid="{00000000-0005-0000-0000-0000ED020000}"/>
    <cellStyle name="Normal 6 9 2" xfId="888" xr:uid="{00000000-0005-0000-0000-0000EE020000}"/>
    <cellStyle name="Normal 7" xfId="97" xr:uid="{00000000-0005-0000-0000-0000EF020000}"/>
    <cellStyle name="Normal 7 10" xfId="536" xr:uid="{00000000-0005-0000-0000-0000F0020000}"/>
    <cellStyle name="Normal 7 10 2" xfId="889" xr:uid="{00000000-0005-0000-0000-0000F1020000}"/>
    <cellStyle name="Normal 7 11" xfId="653" xr:uid="{00000000-0005-0000-0000-0000F2020000}"/>
    <cellStyle name="Normal 7 11 2" xfId="890" xr:uid="{00000000-0005-0000-0000-0000F3020000}"/>
    <cellStyle name="Normal 7 12" xfId="891" xr:uid="{00000000-0005-0000-0000-0000F4020000}"/>
    <cellStyle name="Normal 7 2" xfId="317" xr:uid="{00000000-0005-0000-0000-0000F5020000}"/>
    <cellStyle name="Normal 7 2 2" xfId="537" xr:uid="{00000000-0005-0000-0000-0000F6020000}"/>
    <cellStyle name="Normal 7 2 2 2" xfId="538" xr:uid="{00000000-0005-0000-0000-0000F7020000}"/>
    <cellStyle name="Normal 7 2 2 2 2" xfId="892" xr:uid="{00000000-0005-0000-0000-0000F8020000}"/>
    <cellStyle name="Normal 7 2 2 3" xfId="654" xr:uid="{00000000-0005-0000-0000-0000F9020000}"/>
    <cellStyle name="Normal 7 2 2 3 2" xfId="893" xr:uid="{00000000-0005-0000-0000-0000FA020000}"/>
    <cellStyle name="Normal 7 2 2 4" xfId="894" xr:uid="{00000000-0005-0000-0000-0000FB020000}"/>
    <cellStyle name="Normal 7 2 3" xfId="539" xr:uid="{00000000-0005-0000-0000-0000FC020000}"/>
    <cellStyle name="Normal 7 2 3 2" xfId="540" xr:uid="{00000000-0005-0000-0000-0000FD020000}"/>
    <cellStyle name="Normal 7 2 3 2 2" xfId="895" xr:uid="{00000000-0005-0000-0000-0000FE020000}"/>
    <cellStyle name="Normal 7 2 3 3" xfId="655" xr:uid="{00000000-0005-0000-0000-0000FF020000}"/>
    <cellStyle name="Normal 7 2 3 3 2" xfId="896" xr:uid="{00000000-0005-0000-0000-000000030000}"/>
    <cellStyle name="Normal 7 2 3 4" xfId="897" xr:uid="{00000000-0005-0000-0000-000001030000}"/>
    <cellStyle name="Normal 7 2 4" xfId="541" xr:uid="{00000000-0005-0000-0000-000002030000}"/>
    <cellStyle name="Normal 7 2 4 2" xfId="898" xr:uid="{00000000-0005-0000-0000-000003030000}"/>
    <cellStyle name="Normal 7 2 5" xfId="542" xr:uid="{00000000-0005-0000-0000-000004030000}"/>
    <cellStyle name="Normal 7 2 5 2" xfId="899" xr:uid="{00000000-0005-0000-0000-000005030000}"/>
    <cellStyle name="Normal 7 2 6" xfId="543" xr:uid="{00000000-0005-0000-0000-000006030000}"/>
    <cellStyle name="Normal 7 2 6 2" xfId="900" xr:uid="{00000000-0005-0000-0000-000007030000}"/>
    <cellStyle name="Normal 7 2 7" xfId="656" xr:uid="{00000000-0005-0000-0000-000008030000}"/>
    <cellStyle name="Normal 7 2 7 2" xfId="901" xr:uid="{00000000-0005-0000-0000-000009030000}"/>
    <cellStyle name="Normal 7 2 8" xfId="902" xr:uid="{00000000-0005-0000-0000-00000A030000}"/>
    <cellStyle name="Normal 7 3" xfId="318" xr:uid="{00000000-0005-0000-0000-00000B030000}"/>
    <cellStyle name="Normal 7 3 2" xfId="544" xr:uid="{00000000-0005-0000-0000-00000C030000}"/>
    <cellStyle name="Normal 7 3 2 2" xfId="545" xr:uid="{00000000-0005-0000-0000-00000D030000}"/>
    <cellStyle name="Normal 7 3 2 2 2" xfId="903" xr:uid="{00000000-0005-0000-0000-00000E030000}"/>
    <cellStyle name="Normal 7 3 2 3" xfId="657" xr:uid="{00000000-0005-0000-0000-00000F030000}"/>
    <cellStyle name="Normal 7 3 2 3 2" xfId="904" xr:uid="{00000000-0005-0000-0000-000010030000}"/>
    <cellStyle name="Normal 7 3 2 4" xfId="905" xr:uid="{00000000-0005-0000-0000-000011030000}"/>
    <cellStyle name="Normal 7 3 3" xfId="546" xr:uid="{00000000-0005-0000-0000-000012030000}"/>
    <cellStyle name="Normal 7 3 3 2" xfId="547" xr:uid="{00000000-0005-0000-0000-000013030000}"/>
    <cellStyle name="Normal 7 3 3 2 2" xfId="906" xr:uid="{00000000-0005-0000-0000-000014030000}"/>
    <cellStyle name="Normal 7 3 3 3" xfId="658" xr:uid="{00000000-0005-0000-0000-000015030000}"/>
    <cellStyle name="Normal 7 3 3 3 2" xfId="907" xr:uid="{00000000-0005-0000-0000-000016030000}"/>
    <cellStyle name="Normal 7 3 3 4" xfId="908" xr:uid="{00000000-0005-0000-0000-000017030000}"/>
    <cellStyle name="Normal 7 3 4" xfId="548" xr:uid="{00000000-0005-0000-0000-000018030000}"/>
    <cellStyle name="Normal 7 3 4 2" xfId="909" xr:uid="{00000000-0005-0000-0000-000019030000}"/>
    <cellStyle name="Normal 7 3 5" xfId="549" xr:uid="{00000000-0005-0000-0000-00001A030000}"/>
    <cellStyle name="Normal 7 3 5 2" xfId="910" xr:uid="{00000000-0005-0000-0000-00001B030000}"/>
    <cellStyle name="Normal 7 3 6" xfId="550" xr:uid="{00000000-0005-0000-0000-00001C030000}"/>
    <cellStyle name="Normal 7 3 6 2" xfId="911" xr:uid="{00000000-0005-0000-0000-00001D030000}"/>
    <cellStyle name="Normal 7 3 7" xfId="659" xr:uid="{00000000-0005-0000-0000-00001E030000}"/>
    <cellStyle name="Normal 7 3 7 2" xfId="912" xr:uid="{00000000-0005-0000-0000-00001F030000}"/>
    <cellStyle name="Normal 7 3 8" xfId="913" xr:uid="{00000000-0005-0000-0000-000020030000}"/>
    <cellStyle name="Normal 7 4" xfId="369" xr:uid="{00000000-0005-0000-0000-000021030000}"/>
    <cellStyle name="Normal 7 4 2" xfId="551" xr:uid="{00000000-0005-0000-0000-000022030000}"/>
    <cellStyle name="Normal 7 4 2 2" xfId="552" xr:uid="{00000000-0005-0000-0000-000023030000}"/>
    <cellStyle name="Normal 7 4 2 2 2" xfId="914" xr:uid="{00000000-0005-0000-0000-000024030000}"/>
    <cellStyle name="Normal 7 4 2 3" xfId="660" xr:uid="{00000000-0005-0000-0000-000025030000}"/>
    <cellStyle name="Normal 7 4 2 3 2" xfId="915" xr:uid="{00000000-0005-0000-0000-000026030000}"/>
    <cellStyle name="Normal 7 4 2 4" xfId="916" xr:uid="{00000000-0005-0000-0000-000027030000}"/>
    <cellStyle name="Normal 7 4 3" xfId="553" xr:uid="{00000000-0005-0000-0000-000028030000}"/>
    <cellStyle name="Normal 7 4 3 2" xfId="554" xr:uid="{00000000-0005-0000-0000-000029030000}"/>
    <cellStyle name="Normal 7 4 3 2 2" xfId="917" xr:uid="{00000000-0005-0000-0000-00002A030000}"/>
    <cellStyle name="Normal 7 4 3 3" xfId="661" xr:uid="{00000000-0005-0000-0000-00002B030000}"/>
    <cellStyle name="Normal 7 4 3 3 2" xfId="918" xr:uid="{00000000-0005-0000-0000-00002C030000}"/>
    <cellStyle name="Normal 7 4 3 4" xfId="919" xr:uid="{00000000-0005-0000-0000-00002D030000}"/>
    <cellStyle name="Normal 7 4 4" xfId="555" xr:uid="{00000000-0005-0000-0000-00002E030000}"/>
    <cellStyle name="Normal 7 4 4 2" xfId="920" xr:uid="{00000000-0005-0000-0000-00002F030000}"/>
    <cellStyle name="Normal 7 4 5" xfId="556" xr:uid="{00000000-0005-0000-0000-000030030000}"/>
    <cellStyle name="Normal 7 4 5 2" xfId="921" xr:uid="{00000000-0005-0000-0000-000031030000}"/>
    <cellStyle name="Normal 7 4 6" xfId="557" xr:uid="{00000000-0005-0000-0000-000032030000}"/>
    <cellStyle name="Normal 7 4 6 2" xfId="922" xr:uid="{00000000-0005-0000-0000-000033030000}"/>
    <cellStyle name="Normal 7 4 7" xfId="662" xr:uid="{00000000-0005-0000-0000-000034030000}"/>
    <cellStyle name="Normal 7 4 7 2" xfId="923" xr:uid="{00000000-0005-0000-0000-000035030000}"/>
    <cellStyle name="Normal 7 4 8" xfId="924" xr:uid="{00000000-0005-0000-0000-000036030000}"/>
    <cellStyle name="Normal 7 5" xfId="558" xr:uid="{00000000-0005-0000-0000-000037030000}"/>
    <cellStyle name="Normal 7 5 2" xfId="559" xr:uid="{00000000-0005-0000-0000-000038030000}"/>
    <cellStyle name="Normal 7 5 2 2" xfId="925" xr:uid="{00000000-0005-0000-0000-000039030000}"/>
    <cellStyle name="Normal 7 5 3" xfId="663" xr:uid="{00000000-0005-0000-0000-00003A030000}"/>
    <cellStyle name="Normal 7 5 3 2" xfId="926" xr:uid="{00000000-0005-0000-0000-00003B030000}"/>
    <cellStyle name="Normal 7 5 4" xfId="927" xr:uid="{00000000-0005-0000-0000-00003C030000}"/>
    <cellStyle name="Normal 7 6" xfId="560" xr:uid="{00000000-0005-0000-0000-00003D030000}"/>
    <cellStyle name="Normal 7 6 2" xfId="561" xr:uid="{00000000-0005-0000-0000-00003E030000}"/>
    <cellStyle name="Normal 7 6 2 2" xfId="928" xr:uid="{00000000-0005-0000-0000-00003F030000}"/>
    <cellStyle name="Normal 7 6 3" xfId="664" xr:uid="{00000000-0005-0000-0000-000040030000}"/>
    <cellStyle name="Normal 7 6 3 2" xfId="929" xr:uid="{00000000-0005-0000-0000-000041030000}"/>
    <cellStyle name="Normal 7 6 4" xfId="930" xr:uid="{00000000-0005-0000-0000-000042030000}"/>
    <cellStyle name="Normal 7 7" xfId="562" xr:uid="{00000000-0005-0000-0000-000043030000}"/>
    <cellStyle name="Normal 7 7 2" xfId="931" xr:uid="{00000000-0005-0000-0000-000044030000}"/>
    <cellStyle name="Normal 7 8" xfId="563" xr:uid="{00000000-0005-0000-0000-000045030000}"/>
    <cellStyle name="Normal 7 8 2" xfId="932" xr:uid="{00000000-0005-0000-0000-000046030000}"/>
    <cellStyle name="Normal 7 9" xfId="564" xr:uid="{00000000-0005-0000-0000-000047030000}"/>
    <cellStyle name="Normal 7 9 2" xfId="933" xr:uid="{00000000-0005-0000-0000-000048030000}"/>
    <cellStyle name="Normal 8" xfId="319" xr:uid="{00000000-0005-0000-0000-000049030000}"/>
    <cellStyle name="Normal 8 2" xfId="565" xr:uid="{00000000-0005-0000-0000-00004A030000}"/>
    <cellStyle name="Normal 8 2 2" xfId="566" xr:uid="{00000000-0005-0000-0000-00004B030000}"/>
    <cellStyle name="Normal 8 2 2 2" xfId="934" xr:uid="{00000000-0005-0000-0000-00004C030000}"/>
    <cellStyle name="Normal 8 2 3" xfId="665" xr:uid="{00000000-0005-0000-0000-00004D030000}"/>
    <cellStyle name="Normal 8 2 3 2" xfId="935" xr:uid="{00000000-0005-0000-0000-00004E030000}"/>
    <cellStyle name="Normal 8 2 4" xfId="936" xr:uid="{00000000-0005-0000-0000-00004F030000}"/>
    <cellStyle name="Normal 8 3" xfId="567" xr:uid="{00000000-0005-0000-0000-000050030000}"/>
    <cellStyle name="Normal 8 3 2" xfId="568" xr:uid="{00000000-0005-0000-0000-000051030000}"/>
    <cellStyle name="Normal 8 3 2 2" xfId="937" xr:uid="{00000000-0005-0000-0000-000052030000}"/>
    <cellStyle name="Normal 8 3 3" xfId="666" xr:uid="{00000000-0005-0000-0000-000053030000}"/>
    <cellStyle name="Normal 8 3 3 2" xfId="938" xr:uid="{00000000-0005-0000-0000-000054030000}"/>
    <cellStyle name="Normal 8 3 4" xfId="939" xr:uid="{00000000-0005-0000-0000-000055030000}"/>
    <cellStyle name="Normal 8 4" xfId="569" xr:uid="{00000000-0005-0000-0000-000056030000}"/>
    <cellStyle name="Normal 8 4 2" xfId="940" xr:uid="{00000000-0005-0000-0000-000057030000}"/>
    <cellStyle name="Normal 8 5" xfId="570" xr:uid="{00000000-0005-0000-0000-000058030000}"/>
    <cellStyle name="Normal 8 5 2" xfId="941" xr:uid="{00000000-0005-0000-0000-000059030000}"/>
    <cellStyle name="Normal 8 6" xfId="571" xr:uid="{00000000-0005-0000-0000-00005A030000}"/>
    <cellStyle name="Normal 8 6 2" xfId="942" xr:uid="{00000000-0005-0000-0000-00005B030000}"/>
    <cellStyle name="Normal 8 7" xfId="667" xr:uid="{00000000-0005-0000-0000-00005C030000}"/>
    <cellStyle name="Normal 8 7 2" xfId="943" xr:uid="{00000000-0005-0000-0000-00005D030000}"/>
    <cellStyle name="Normal 8 8" xfId="944" xr:uid="{00000000-0005-0000-0000-00005E030000}"/>
    <cellStyle name="Normal 9" xfId="367" xr:uid="{00000000-0005-0000-0000-00005F030000}"/>
    <cellStyle name="Notas 2" xfId="320" xr:uid="{00000000-0005-0000-0000-000060030000}"/>
    <cellStyle name="Notas 2 2" xfId="1030" xr:uid="{00000000-0005-0000-0000-000061030000}"/>
    <cellStyle name="Notas 3" xfId="321" xr:uid="{00000000-0005-0000-0000-000062030000}"/>
    <cellStyle name="Notas 3 2" xfId="1024" xr:uid="{00000000-0005-0000-0000-000063030000}"/>
    <cellStyle name="Note" xfId="163" xr:uid="{00000000-0005-0000-0000-000064030000}"/>
    <cellStyle name="Note 2" xfId="1022" xr:uid="{00000000-0005-0000-0000-000065030000}"/>
    <cellStyle name="Oculto" xfId="364" xr:uid="{00000000-0005-0000-0000-000066030000}"/>
    <cellStyle name="Otra hoja" xfId="365" xr:uid="{00000000-0005-0000-0000-000067030000}"/>
    <cellStyle name="Output" xfId="134" xr:uid="{00000000-0005-0000-0000-000068030000}"/>
    <cellStyle name="Output 2" xfId="1035" xr:uid="{00000000-0005-0000-0000-000069030000}"/>
    <cellStyle name="Percent" xfId="1038" builtinId="5"/>
    <cellStyle name="Percent 2" xfId="4" xr:uid="{00000000-0005-0000-0000-00006A030000}"/>
    <cellStyle name="Percent 2 2" xfId="8" xr:uid="{00000000-0005-0000-0000-00006B030000}"/>
    <cellStyle name="Percent 2 2 2" xfId="14" xr:uid="{00000000-0005-0000-0000-00006C030000}"/>
    <cellStyle name="Percent 2 2 2 2" xfId="26" xr:uid="{00000000-0005-0000-0000-00006D030000}"/>
    <cellStyle name="Percent 2 2 2 3" xfId="38" xr:uid="{00000000-0005-0000-0000-00006E030000}"/>
    <cellStyle name="Percent 2 2 2 4" xfId="50" xr:uid="{00000000-0005-0000-0000-00006F030000}"/>
    <cellStyle name="Percent 2 2 2 5" xfId="62" xr:uid="{00000000-0005-0000-0000-000070030000}"/>
    <cellStyle name="Percent 2 2 3" xfId="20" xr:uid="{00000000-0005-0000-0000-000071030000}"/>
    <cellStyle name="Percent 2 2 4" xfId="32" xr:uid="{00000000-0005-0000-0000-000072030000}"/>
    <cellStyle name="Percent 2 2 5" xfId="44" xr:uid="{00000000-0005-0000-0000-000073030000}"/>
    <cellStyle name="Percent 2 2 6" xfId="56" xr:uid="{00000000-0005-0000-0000-000074030000}"/>
    <cellStyle name="Percent 2 3" xfId="6" xr:uid="{00000000-0005-0000-0000-000075030000}"/>
    <cellStyle name="Percent 2 3 2" xfId="12" xr:uid="{00000000-0005-0000-0000-000076030000}"/>
    <cellStyle name="Percent 2 3 2 2" xfId="24" xr:uid="{00000000-0005-0000-0000-000077030000}"/>
    <cellStyle name="Percent 2 3 2 3" xfId="36" xr:uid="{00000000-0005-0000-0000-000078030000}"/>
    <cellStyle name="Percent 2 3 2 4" xfId="48" xr:uid="{00000000-0005-0000-0000-000079030000}"/>
    <cellStyle name="Percent 2 3 2 5" xfId="60" xr:uid="{00000000-0005-0000-0000-00007A030000}"/>
    <cellStyle name="Percent 2 3 3" xfId="18" xr:uid="{00000000-0005-0000-0000-00007B030000}"/>
    <cellStyle name="Percent 2 3 4" xfId="30" xr:uid="{00000000-0005-0000-0000-00007C030000}"/>
    <cellStyle name="Percent 2 3 5" xfId="42" xr:uid="{00000000-0005-0000-0000-00007D030000}"/>
    <cellStyle name="Percent 2 3 6" xfId="54" xr:uid="{00000000-0005-0000-0000-00007E030000}"/>
    <cellStyle name="Percent 2 4" xfId="10" xr:uid="{00000000-0005-0000-0000-00007F030000}"/>
    <cellStyle name="Percent 2 4 2" xfId="22" xr:uid="{00000000-0005-0000-0000-000080030000}"/>
    <cellStyle name="Percent 2 4 3" xfId="34" xr:uid="{00000000-0005-0000-0000-000081030000}"/>
    <cellStyle name="Percent 2 4 4" xfId="46" xr:uid="{00000000-0005-0000-0000-000082030000}"/>
    <cellStyle name="Percent 2 4 5" xfId="58" xr:uid="{00000000-0005-0000-0000-000083030000}"/>
    <cellStyle name="Percent 2 5" xfId="16" xr:uid="{00000000-0005-0000-0000-000084030000}"/>
    <cellStyle name="Percent 2 6" xfId="28" xr:uid="{00000000-0005-0000-0000-000085030000}"/>
    <cellStyle name="Percent 2 7" xfId="40" xr:uid="{00000000-0005-0000-0000-000086030000}"/>
    <cellStyle name="Percent 2 8" xfId="52" xr:uid="{00000000-0005-0000-0000-000087030000}"/>
    <cellStyle name="Percent 2 9" xfId="67" xr:uid="{00000000-0005-0000-0000-000088030000}"/>
    <cellStyle name="Porcentaje 2" xfId="63" xr:uid="{00000000-0005-0000-0000-00008A030000}"/>
    <cellStyle name="Porcentaje 3" xfId="76" xr:uid="{00000000-0005-0000-0000-00008B030000}"/>
    <cellStyle name="Porcentaje 4" xfId="77" xr:uid="{00000000-0005-0000-0000-00008C030000}"/>
    <cellStyle name="Porcentual 2" xfId="68" xr:uid="{00000000-0005-0000-0000-00008D030000}"/>
    <cellStyle name="Porcentual 2 2" xfId="135" xr:uid="{00000000-0005-0000-0000-00008E030000}"/>
    <cellStyle name="Porcentual 2 3" xfId="138" xr:uid="{00000000-0005-0000-0000-00008F030000}"/>
    <cellStyle name="Porcentual 3" xfId="139" xr:uid="{00000000-0005-0000-0000-000090030000}"/>
    <cellStyle name="Porcentual 3 2" xfId="572" xr:uid="{00000000-0005-0000-0000-000091030000}"/>
    <cellStyle name="Porcentual 3 3" xfId="573" xr:uid="{00000000-0005-0000-0000-000092030000}"/>
    <cellStyle name="Porcentual 4" xfId="171" xr:uid="{00000000-0005-0000-0000-000093030000}"/>
    <cellStyle name="Porcentual 4 2" xfId="322" xr:uid="{00000000-0005-0000-0000-000094030000}"/>
    <cellStyle name="Porcentual 4 2 2" xfId="574" xr:uid="{00000000-0005-0000-0000-000095030000}"/>
    <cellStyle name="Porcentual 4 2 2 2" xfId="575" xr:uid="{00000000-0005-0000-0000-000096030000}"/>
    <cellStyle name="Porcentual 4 2 2 2 2" xfId="945" xr:uid="{00000000-0005-0000-0000-000097030000}"/>
    <cellStyle name="Porcentual 4 2 2 3" xfId="668" xr:uid="{00000000-0005-0000-0000-000098030000}"/>
    <cellStyle name="Porcentual 4 2 2 3 2" xfId="946" xr:uid="{00000000-0005-0000-0000-000099030000}"/>
    <cellStyle name="Porcentual 4 2 2 4" xfId="947" xr:uid="{00000000-0005-0000-0000-00009A030000}"/>
    <cellStyle name="Porcentual 4 2 3" xfId="576" xr:uid="{00000000-0005-0000-0000-00009B030000}"/>
    <cellStyle name="Porcentual 4 2 3 2" xfId="577" xr:uid="{00000000-0005-0000-0000-00009C030000}"/>
    <cellStyle name="Porcentual 4 2 3 2 2" xfId="948" xr:uid="{00000000-0005-0000-0000-00009D030000}"/>
    <cellStyle name="Porcentual 4 2 3 3" xfId="669" xr:uid="{00000000-0005-0000-0000-00009E030000}"/>
    <cellStyle name="Porcentual 4 2 3 3 2" xfId="949" xr:uid="{00000000-0005-0000-0000-00009F030000}"/>
    <cellStyle name="Porcentual 4 2 3 4" xfId="950" xr:uid="{00000000-0005-0000-0000-0000A0030000}"/>
    <cellStyle name="Porcentual 4 2 4" xfId="578" xr:uid="{00000000-0005-0000-0000-0000A1030000}"/>
    <cellStyle name="Porcentual 4 2 4 2" xfId="951" xr:uid="{00000000-0005-0000-0000-0000A2030000}"/>
    <cellStyle name="Porcentual 4 2 5" xfId="579" xr:uid="{00000000-0005-0000-0000-0000A3030000}"/>
    <cellStyle name="Porcentual 4 2 5 2" xfId="952" xr:uid="{00000000-0005-0000-0000-0000A4030000}"/>
    <cellStyle name="Porcentual 4 2 6" xfId="580" xr:uid="{00000000-0005-0000-0000-0000A5030000}"/>
    <cellStyle name="Porcentual 4 2 6 2" xfId="953" xr:uid="{00000000-0005-0000-0000-0000A6030000}"/>
    <cellStyle name="Porcentual 4 2 7" xfId="670" xr:uid="{00000000-0005-0000-0000-0000A7030000}"/>
    <cellStyle name="Porcentual 4 2 7 2" xfId="954" xr:uid="{00000000-0005-0000-0000-0000A8030000}"/>
    <cellStyle name="Porcentual 4 2 8" xfId="955" xr:uid="{00000000-0005-0000-0000-0000A9030000}"/>
    <cellStyle name="Porcentual 4 3" xfId="581" xr:uid="{00000000-0005-0000-0000-0000AA030000}"/>
    <cellStyle name="Porcentual 4 3 2" xfId="582" xr:uid="{00000000-0005-0000-0000-0000AB030000}"/>
    <cellStyle name="Porcentual 4 3 2 2" xfId="956" xr:uid="{00000000-0005-0000-0000-0000AC030000}"/>
    <cellStyle name="Porcentual 4 3 3" xfId="671" xr:uid="{00000000-0005-0000-0000-0000AD030000}"/>
    <cellStyle name="Porcentual 4 3 3 2" xfId="957" xr:uid="{00000000-0005-0000-0000-0000AE030000}"/>
    <cellStyle name="Porcentual 4 3 4" xfId="958" xr:uid="{00000000-0005-0000-0000-0000AF030000}"/>
    <cellStyle name="Porcentual 4 4" xfId="583" xr:uid="{00000000-0005-0000-0000-0000B0030000}"/>
    <cellStyle name="Porcentual 4 4 2" xfId="584" xr:uid="{00000000-0005-0000-0000-0000B1030000}"/>
    <cellStyle name="Porcentual 4 4 2 2" xfId="959" xr:uid="{00000000-0005-0000-0000-0000B2030000}"/>
    <cellStyle name="Porcentual 4 4 3" xfId="672" xr:uid="{00000000-0005-0000-0000-0000B3030000}"/>
    <cellStyle name="Porcentual 4 4 3 2" xfId="960" xr:uid="{00000000-0005-0000-0000-0000B4030000}"/>
    <cellStyle name="Porcentual 4 4 4" xfId="961" xr:uid="{00000000-0005-0000-0000-0000B5030000}"/>
    <cellStyle name="Porcentual 4 5" xfId="585" xr:uid="{00000000-0005-0000-0000-0000B6030000}"/>
    <cellStyle name="Porcentual 4 5 2" xfId="962" xr:uid="{00000000-0005-0000-0000-0000B7030000}"/>
    <cellStyle name="Porcentual 4 6" xfId="586" xr:uid="{00000000-0005-0000-0000-0000B8030000}"/>
    <cellStyle name="Porcentual 4 6 2" xfId="963" xr:uid="{00000000-0005-0000-0000-0000B9030000}"/>
    <cellStyle name="Porcentual 4 7" xfId="587" xr:uid="{00000000-0005-0000-0000-0000BA030000}"/>
    <cellStyle name="Porcentual 4 7 2" xfId="964" xr:uid="{00000000-0005-0000-0000-0000BB030000}"/>
    <cellStyle name="Porcentual 4 8" xfId="673" xr:uid="{00000000-0005-0000-0000-0000BC030000}"/>
    <cellStyle name="Porcentual 4 8 2" xfId="965" xr:uid="{00000000-0005-0000-0000-0000BD030000}"/>
    <cellStyle name="Porcentual 4 9" xfId="966" xr:uid="{00000000-0005-0000-0000-0000BE030000}"/>
    <cellStyle name="Porcentual 5" xfId="172" xr:uid="{00000000-0005-0000-0000-0000BF030000}"/>
    <cellStyle name="Porcentual 5 2" xfId="588" xr:uid="{00000000-0005-0000-0000-0000C0030000}"/>
    <cellStyle name="Porcentual 5 2 2" xfId="589" xr:uid="{00000000-0005-0000-0000-0000C1030000}"/>
    <cellStyle name="Porcentual 5 2 2 2" xfId="967" xr:uid="{00000000-0005-0000-0000-0000C2030000}"/>
    <cellStyle name="Porcentual 5 2 3" xfId="674" xr:uid="{00000000-0005-0000-0000-0000C3030000}"/>
    <cellStyle name="Porcentual 5 2 3 2" xfId="968" xr:uid="{00000000-0005-0000-0000-0000C4030000}"/>
    <cellStyle name="Porcentual 5 2 4" xfId="969" xr:uid="{00000000-0005-0000-0000-0000C5030000}"/>
    <cellStyle name="Porcentual 5 3" xfId="590" xr:uid="{00000000-0005-0000-0000-0000C6030000}"/>
    <cellStyle name="Porcentual 5 3 2" xfId="591" xr:uid="{00000000-0005-0000-0000-0000C7030000}"/>
    <cellStyle name="Porcentual 5 3 2 2" xfId="970" xr:uid="{00000000-0005-0000-0000-0000C8030000}"/>
    <cellStyle name="Porcentual 5 3 3" xfId="675" xr:uid="{00000000-0005-0000-0000-0000C9030000}"/>
    <cellStyle name="Porcentual 5 3 3 2" xfId="971" xr:uid="{00000000-0005-0000-0000-0000CA030000}"/>
    <cellStyle name="Porcentual 5 3 4" xfId="972" xr:uid="{00000000-0005-0000-0000-0000CB030000}"/>
    <cellStyle name="Porcentual 5 4" xfId="592" xr:uid="{00000000-0005-0000-0000-0000CC030000}"/>
    <cellStyle name="Porcentual 5 4 2" xfId="973" xr:uid="{00000000-0005-0000-0000-0000CD030000}"/>
    <cellStyle name="Porcentual 5 5" xfId="593" xr:uid="{00000000-0005-0000-0000-0000CE030000}"/>
    <cellStyle name="Porcentual 5 5 2" xfId="974" xr:uid="{00000000-0005-0000-0000-0000CF030000}"/>
    <cellStyle name="Porcentual 5 6" xfId="594" xr:uid="{00000000-0005-0000-0000-0000D0030000}"/>
    <cellStyle name="Porcentual 5 6 2" xfId="975" xr:uid="{00000000-0005-0000-0000-0000D1030000}"/>
    <cellStyle name="Porcentual 5 7" xfId="676" xr:uid="{00000000-0005-0000-0000-0000D2030000}"/>
    <cellStyle name="Porcentual 5 7 2" xfId="976" xr:uid="{00000000-0005-0000-0000-0000D3030000}"/>
    <cellStyle name="Porcentual 5 8" xfId="977" xr:uid="{00000000-0005-0000-0000-0000D4030000}"/>
    <cellStyle name="Porcentual 6" xfId="349" xr:uid="{00000000-0005-0000-0000-0000D5030000}"/>
    <cellStyle name="Porcentual 6 2" xfId="595" xr:uid="{00000000-0005-0000-0000-0000D6030000}"/>
    <cellStyle name="Porcentual 6 2 2" xfId="596" xr:uid="{00000000-0005-0000-0000-0000D7030000}"/>
    <cellStyle name="Porcentual 6 2 2 2" xfId="978" xr:uid="{00000000-0005-0000-0000-0000D8030000}"/>
    <cellStyle name="Porcentual 6 2 3" xfId="677" xr:uid="{00000000-0005-0000-0000-0000D9030000}"/>
    <cellStyle name="Porcentual 6 2 3 2" xfId="979" xr:uid="{00000000-0005-0000-0000-0000DA030000}"/>
    <cellStyle name="Porcentual 6 2 4" xfId="980" xr:uid="{00000000-0005-0000-0000-0000DB030000}"/>
    <cellStyle name="Porcentual 6 3" xfId="597" xr:uid="{00000000-0005-0000-0000-0000DC030000}"/>
    <cellStyle name="Porcentual 6 3 2" xfId="598" xr:uid="{00000000-0005-0000-0000-0000DD030000}"/>
    <cellStyle name="Porcentual 6 3 2 2" xfId="981" xr:uid="{00000000-0005-0000-0000-0000DE030000}"/>
    <cellStyle name="Porcentual 6 3 3" xfId="678" xr:uid="{00000000-0005-0000-0000-0000DF030000}"/>
    <cellStyle name="Porcentual 6 3 3 2" xfId="982" xr:uid="{00000000-0005-0000-0000-0000E0030000}"/>
    <cellStyle name="Porcentual 6 3 4" xfId="983" xr:uid="{00000000-0005-0000-0000-0000E1030000}"/>
    <cellStyle name="Porcentual 6 4" xfId="599" xr:uid="{00000000-0005-0000-0000-0000E2030000}"/>
    <cellStyle name="Porcentual 6 4 2" xfId="984" xr:uid="{00000000-0005-0000-0000-0000E3030000}"/>
    <cellStyle name="Porcentual 6 5" xfId="600" xr:uid="{00000000-0005-0000-0000-0000E4030000}"/>
    <cellStyle name="Porcentual 6 5 2" xfId="985" xr:uid="{00000000-0005-0000-0000-0000E5030000}"/>
    <cellStyle name="Porcentual 6 6" xfId="601" xr:uid="{00000000-0005-0000-0000-0000E6030000}"/>
    <cellStyle name="Porcentual 6 6 2" xfId="986" xr:uid="{00000000-0005-0000-0000-0000E7030000}"/>
    <cellStyle name="Porcentual 6 7" xfId="679" xr:uid="{00000000-0005-0000-0000-0000E8030000}"/>
    <cellStyle name="Porcentual 6 7 2" xfId="987" xr:uid="{00000000-0005-0000-0000-0000E9030000}"/>
    <cellStyle name="Porcentual 6 8" xfId="988" xr:uid="{00000000-0005-0000-0000-0000EA030000}"/>
    <cellStyle name="Salida 2" xfId="323" xr:uid="{00000000-0005-0000-0000-0000EB030000}"/>
    <cellStyle name="Salida 2 2" xfId="1020" xr:uid="{00000000-0005-0000-0000-0000EC030000}"/>
    <cellStyle name="Salida 3" xfId="324" xr:uid="{00000000-0005-0000-0000-0000ED030000}"/>
    <cellStyle name="Salida 3 2" xfId="1029" xr:uid="{00000000-0005-0000-0000-0000EE030000}"/>
    <cellStyle name="Salida 4" xfId="325" xr:uid="{00000000-0005-0000-0000-0000EF030000}"/>
    <cellStyle name="Salida 4 2" xfId="1019" xr:uid="{00000000-0005-0000-0000-0000F0030000}"/>
    <cellStyle name="Texto de advertencia 2" xfId="326" xr:uid="{00000000-0005-0000-0000-0000F1030000}"/>
    <cellStyle name="Texto de advertencia 3" xfId="327" xr:uid="{00000000-0005-0000-0000-0000F2030000}"/>
    <cellStyle name="Texto explicativo 2" xfId="328" xr:uid="{00000000-0005-0000-0000-0000F3030000}"/>
    <cellStyle name="Texto explicativo 3" xfId="329" xr:uid="{00000000-0005-0000-0000-0000F4030000}"/>
    <cellStyle name="Texto explicativo 4" xfId="330" xr:uid="{00000000-0005-0000-0000-0000F5030000}"/>
    <cellStyle name="Title" xfId="136" xr:uid="{00000000-0005-0000-0000-0000F6030000}"/>
    <cellStyle name="Título 1 2" xfId="331" xr:uid="{00000000-0005-0000-0000-0000F7030000}"/>
    <cellStyle name="Título 1 3" xfId="332" xr:uid="{00000000-0005-0000-0000-0000F8030000}"/>
    <cellStyle name="Título 1 4" xfId="333" xr:uid="{00000000-0005-0000-0000-0000F9030000}"/>
    <cellStyle name="Título 2 2" xfId="334" xr:uid="{00000000-0005-0000-0000-0000FA030000}"/>
    <cellStyle name="Título 2 3" xfId="335" xr:uid="{00000000-0005-0000-0000-0000FB030000}"/>
    <cellStyle name="Título 2 4" xfId="336" xr:uid="{00000000-0005-0000-0000-0000FC030000}"/>
    <cellStyle name="Título 3 2" xfId="337" xr:uid="{00000000-0005-0000-0000-0000FD030000}"/>
    <cellStyle name="Título 3 3" xfId="338" xr:uid="{00000000-0005-0000-0000-0000FE030000}"/>
    <cellStyle name="Título 3 4" xfId="339" xr:uid="{00000000-0005-0000-0000-0000FF030000}"/>
    <cellStyle name="Título 4" xfId="340" xr:uid="{00000000-0005-0000-0000-000000040000}"/>
    <cellStyle name="Título 5" xfId="341" xr:uid="{00000000-0005-0000-0000-000001040000}"/>
    <cellStyle name="Título 6" xfId="342" xr:uid="{00000000-0005-0000-0000-000002040000}"/>
    <cellStyle name="Total 2" xfId="343" xr:uid="{00000000-0005-0000-0000-000003040000}"/>
    <cellStyle name="Total 2 2" xfId="1023" xr:uid="{00000000-0005-0000-0000-000004040000}"/>
    <cellStyle name="Total 3" xfId="344" xr:uid="{00000000-0005-0000-0000-000005040000}"/>
    <cellStyle name="Total 3 2" xfId="1028" xr:uid="{00000000-0005-0000-0000-000006040000}"/>
    <cellStyle name="Total 4" xfId="345" xr:uid="{00000000-0005-0000-0000-000007040000}"/>
    <cellStyle name="Total 4 2" xfId="1018" xr:uid="{00000000-0005-0000-0000-000008040000}"/>
    <cellStyle name="Total 5" xfId="346" xr:uid="{00000000-0005-0000-0000-000009040000}"/>
    <cellStyle name="Total 5 2" xfId="1027" xr:uid="{00000000-0005-0000-0000-00000A040000}"/>
    <cellStyle name="Total 6" xfId="347" xr:uid="{00000000-0005-0000-0000-00000B040000}"/>
    <cellStyle name="Total 6 2" xfId="1017" xr:uid="{00000000-0005-0000-0000-00000C040000}"/>
    <cellStyle name="Total 7" xfId="102" xr:uid="{00000000-0005-0000-0000-00000D040000}"/>
    <cellStyle name="Total 7 2" xfId="1026" xr:uid="{00000000-0005-0000-0000-00000E040000}"/>
    <cellStyle name="Warning Text" xfId="164" xr:uid="{00000000-0005-0000-0000-00000F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Conductor</a:t>
            </a:r>
            <a:r>
              <a:rPr lang="es-CO" sz="2000" b="1" baseline="0"/>
              <a:t> económico 240 V </a:t>
            </a:r>
            <a:endParaRPr lang="es-CO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120-240 V'!$G$4:$G$23</c:f>
              <c:numCache>
                <c:formatCode>0.0</c:formatCode>
                <c:ptCount val="2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</c:numCache>
            </c:numRef>
          </c:xVal>
          <c:yVal>
            <c:numRef>
              <c:f>'Conductor económico 120-240 V'!$H$4:$H$23</c:f>
              <c:numCache>
                <c:formatCode>_("$"* #,##0.00_);_("$"* \(#,##0.00\);_("$"* "-"??_);_(@_)</c:formatCode>
                <c:ptCount val="20"/>
                <c:pt idx="0">
                  <c:v>10.304817432993126</c:v>
                </c:pt>
                <c:pt idx="1">
                  <c:v>10.681439594472501</c:v>
                </c:pt>
                <c:pt idx="2">
                  <c:v>11.309143196938125</c:v>
                </c:pt>
                <c:pt idx="3">
                  <c:v>12.187928240390001</c:v>
                </c:pt>
                <c:pt idx="4">
                  <c:v>13.317794724828124</c:v>
                </c:pt>
                <c:pt idx="5">
                  <c:v>14.6987426502525</c:v>
                </c:pt>
                <c:pt idx="6">
                  <c:v>16.330772016663126</c:v>
                </c:pt>
                <c:pt idx="7">
                  <c:v>18.213882824060001</c:v>
                </c:pt>
                <c:pt idx="8">
                  <c:v>20.348075072443127</c:v>
                </c:pt>
                <c:pt idx="9">
                  <c:v>22.733348761812497</c:v>
                </c:pt>
                <c:pt idx="10">
                  <c:v>25.369703892168125</c:v>
                </c:pt>
                <c:pt idx="11">
                  <c:v>28.257140463509998</c:v>
                </c:pt>
                <c:pt idx="12">
                  <c:v>31.395658475838125</c:v>
                </c:pt>
                <c:pt idx="13">
                  <c:v>34.7852579291525</c:v>
                </c:pt>
                <c:pt idx="14">
                  <c:v>38.42593882345313</c:v>
                </c:pt>
                <c:pt idx="15">
                  <c:v>42.317701158740007</c:v>
                </c:pt>
                <c:pt idx="16">
                  <c:v>46.460544935013118</c:v>
                </c:pt>
                <c:pt idx="17">
                  <c:v>50.854470152272498</c:v>
                </c:pt>
                <c:pt idx="18">
                  <c:v>55.499476810518132</c:v>
                </c:pt>
                <c:pt idx="19">
                  <c:v>60.395564909749986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0D-447A-9F24-0AC4F8D6BBEA}"/>
            </c:ext>
          </c:extLst>
        </c:ser>
        <c:ser>
          <c:idx val="1"/>
          <c:order val="1"/>
          <c:tx>
            <c:v>2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120-240 V'!$G$4:$G$23</c:f>
              <c:numCache>
                <c:formatCode>0.0</c:formatCode>
                <c:ptCount val="2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</c:numCache>
            </c:numRef>
          </c:xVal>
          <c:yVal>
            <c:numRef>
              <c:f>'Conductor económico 120-240 V'!$I$4:$I$23</c:f>
              <c:numCache>
                <c:formatCode>_("$"* #,##0.00_);_("$"* \(#,##0.00\);_("$"* "-"??_);_(@_)</c:formatCode>
                <c:ptCount val="20"/>
                <c:pt idx="0">
                  <c:v>11.8390802752425</c:v>
                </c:pt>
                <c:pt idx="1">
                  <c:v>12.075601123469999</c:v>
                </c:pt>
                <c:pt idx="2">
                  <c:v>12.469802537182501</c:v>
                </c:pt>
                <c:pt idx="3">
                  <c:v>13.021684516380001</c:v>
                </c:pt>
                <c:pt idx="4">
                  <c:v>13.731247061062501</c:v>
                </c:pt>
                <c:pt idx="5">
                  <c:v>14.598490171229999</c:v>
                </c:pt>
                <c:pt idx="6">
                  <c:v>15.623413846882499</c:v>
                </c:pt>
                <c:pt idx="7">
                  <c:v>16.80601808802</c:v>
                </c:pt>
                <c:pt idx="8">
                  <c:v>18.146302894642503</c:v>
                </c:pt>
                <c:pt idx="9">
                  <c:v>19.64426826675</c:v>
                </c:pt>
                <c:pt idx="10">
                  <c:v>21.2999142043425</c:v>
                </c:pt>
                <c:pt idx="11">
                  <c:v>23.113240707419997</c:v>
                </c:pt>
                <c:pt idx="12">
                  <c:v>25.084247775982501</c:v>
                </c:pt>
                <c:pt idx="13">
                  <c:v>27.212935410029999</c:v>
                </c:pt>
                <c:pt idx="14">
                  <c:v>29.499303609562503</c:v>
                </c:pt>
                <c:pt idx="15">
                  <c:v>31.943352374580002</c:v>
                </c:pt>
                <c:pt idx="16">
                  <c:v>34.545081705082495</c:v>
                </c:pt>
                <c:pt idx="17">
                  <c:v>37.304491601070005</c:v>
                </c:pt>
                <c:pt idx="18">
                  <c:v>40.22158206254251</c:v>
                </c:pt>
                <c:pt idx="19">
                  <c:v>43.296353089499995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0D-447A-9F24-0AC4F8D6BBEA}"/>
            </c:ext>
          </c:extLst>
        </c:ser>
        <c:ser>
          <c:idx val="2"/>
          <c:order val="2"/>
          <c:tx>
            <c:v>1/0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120-240 V'!$G$4:$G$23</c:f>
              <c:numCache>
                <c:formatCode>0.0</c:formatCode>
                <c:ptCount val="2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</c:numCache>
            </c:numRef>
          </c:xVal>
          <c:yVal>
            <c:numRef>
              <c:f>'Conductor económico 120-240 V'!$J$4:$J$23</c:f>
              <c:numCache>
                <c:formatCode>_("$"* #,##0.00_);_("$"* \(#,##0.00\);_("$"* "-"??_);_(@_)</c:formatCode>
                <c:ptCount val="20"/>
                <c:pt idx="0">
                  <c:v>14.324374559020624</c:v>
                </c:pt>
                <c:pt idx="1">
                  <c:v>14.4729991460825</c:v>
                </c:pt>
                <c:pt idx="2">
                  <c:v>14.720706791185625</c:v>
                </c:pt>
                <c:pt idx="3">
                  <c:v>15.06749749433</c:v>
                </c:pt>
                <c:pt idx="4">
                  <c:v>15.513371255515624</c:v>
                </c:pt>
                <c:pt idx="5">
                  <c:v>16.058328074742501</c:v>
                </c:pt>
                <c:pt idx="6">
                  <c:v>16.702367952010626</c:v>
                </c:pt>
                <c:pt idx="7">
                  <c:v>17.445490887320002</c:v>
                </c:pt>
                <c:pt idx="8">
                  <c:v>18.287696880670627</c:v>
                </c:pt>
                <c:pt idx="9">
                  <c:v>19.2289859320625</c:v>
                </c:pt>
                <c:pt idx="10">
                  <c:v>20.269358041495625</c:v>
                </c:pt>
                <c:pt idx="11">
                  <c:v>21.408813208970003</c:v>
                </c:pt>
                <c:pt idx="12">
                  <c:v>22.647351434485625</c:v>
                </c:pt>
                <c:pt idx="13">
                  <c:v>23.984972718042499</c:v>
                </c:pt>
                <c:pt idx="14">
                  <c:v>25.421677059640622</c:v>
                </c:pt>
                <c:pt idx="15">
                  <c:v>26.957464459280004</c:v>
                </c:pt>
                <c:pt idx="16">
                  <c:v>28.592334916960628</c:v>
                </c:pt>
                <c:pt idx="17">
                  <c:v>30.326288432682503</c:v>
                </c:pt>
                <c:pt idx="18">
                  <c:v>32.159325006445634</c:v>
                </c:pt>
                <c:pt idx="19">
                  <c:v>34.091444638250003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0D-447A-9F24-0AC4F8D6BBEA}"/>
            </c:ext>
          </c:extLst>
        </c:ser>
        <c:ser>
          <c:idx val="3"/>
          <c:order val="3"/>
          <c:tx>
            <c:v>2/0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120-240 V'!$G$4:$G$23</c:f>
              <c:numCache>
                <c:formatCode>0.0</c:formatCode>
                <c:ptCount val="2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</c:numCache>
            </c:numRef>
          </c:xVal>
          <c:yVal>
            <c:numRef>
              <c:f>'Conductor económico 120-240 V'!$K$4:$K$23</c:f>
              <c:numCache>
                <c:formatCode>_("$"* #,##0.00_);_("$"* \(#,##0.00\);_("$"* "-"??_);_(@_)</c:formatCode>
                <c:ptCount val="20"/>
                <c:pt idx="0">
                  <c:v>16.081346899769063</c:v>
                </c:pt>
                <c:pt idx="1">
                  <c:v>16.199340971576252</c:v>
                </c:pt>
                <c:pt idx="2">
                  <c:v>16.395997757921563</c:v>
                </c:pt>
                <c:pt idx="3">
                  <c:v>16.671317258805001</c:v>
                </c:pt>
                <c:pt idx="4">
                  <c:v>17.025299474226564</c:v>
                </c:pt>
                <c:pt idx="5">
                  <c:v>17.45794440418625</c:v>
                </c:pt>
                <c:pt idx="6">
                  <c:v>17.969252048684066</c:v>
                </c:pt>
                <c:pt idx="7">
                  <c:v>18.55922240772</c:v>
                </c:pt>
                <c:pt idx="8">
                  <c:v>19.227855481294061</c:v>
                </c:pt>
                <c:pt idx="9">
                  <c:v>19.975151269406251</c:v>
                </c:pt>
                <c:pt idx="10">
                  <c:v>20.801109772056563</c:v>
                </c:pt>
                <c:pt idx="11">
                  <c:v>21.705730989245001</c:v>
                </c:pt>
                <c:pt idx="12">
                  <c:v>22.689014920971566</c:v>
                </c:pt>
                <c:pt idx="13">
                  <c:v>23.750961567236253</c:v>
                </c:pt>
                <c:pt idx="14">
                  <c:v>24.891570928039062</c:v>
                </c:pt>
                <c:pt idx="15">
                  <c:v>26.110843003380005</c:v>
                </c:pt>
                <c:pt idx="16">
                  <c:v>27.408777793259063</c:v>
                </c:pt>
                <c:pt idx="17">
                  <c:v>28.78537529767625</c:v>
                </c:pt>
                <c:pt idx="18">
                  <c:v>30.240635516631567</c:v>
                </c:pt>
                <c:pt idx="19">
                  <c:v>31.774558450125003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0D-447A-9F24-0AC4F8D6BBEA}"/>
            </c:ext>
          </c:extLst>
        </c:ser>
        <c:ser>
          <c:idx val="4"/>
          <c:order val="4"/>
          <c:tx>
            <c:v>4/0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120-240 V'!$G$4:$G$23</c:f>
              <c:numCache>
                <c:formatCode>0.0</c:formatCode>
                <c:ptCount val="2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</c:numCache>
            </c:numRef>
          </c:xVal>
          <c:yVal>
            <c:numRef>
              <c:f>'Conductor económico 120-240 V'!$L$4:$L$23</c:f>
              <c:numCache>
                <c:formatCode>_("$"* #,##0.00_);_("$"* \(#,##0.00\);_("$"* "-"??_);_(@_)</c:formatCode>
                <c:ptCount val="20"/>
                <c:pt idx="0">
                  <c:v>21.079504014510309</c:v>
                </c:pt>
                <c:pt idx="1">
                  <c:v>21.15381630804125</c:v>
                </c:pt>
                <c:pt idx="2">
                  <c:v>21.277670130592814</c:v>
                </c:pt>
                <c:pt idx="3">
                  <c:v>21.451065482165003</c:v>
                </c:pt>
                <c:pt idx="4">
                  <c:v>21.674002362757815</c:v>
                </c:pt>
                <c:pt idx="5">
                  <c:v>21.946480772371252</c:v>
                </c:pt>
                <c:pt idx="6">
                  <c:v>22.268500711005313</c:v>
                </c:pt>
                <c:pt idx="7">
                  <c:v>22.640062178660003</c:v>
                </c:pt>
                <c:pt idx="8">
                  <c:v>23.061165175335315</c:v>
                </c:pt>
                <c:pt idx="9">
                  <c:v>23.53180970103125</c:v>
                </c:pt>
                <c:pt idx="10">
                  <c:v>24.051995755747814</c:v>
                </c:pt>
                <c:pt idx="11">
                  <c:v>24.621723339485001</c:v>
                </c:pt>
                <c:pt idx="12">
                  <c:v>25.240992452242814</c:v>
                </c:pt>
                <c:pt idx="13">
                  <c:v>25.90980309402125</c:v>
                </c:pt>
                <c:pt idx="14">
                  <c:v>26.628155264820315</c:v>
                </c:pt>
                <c:pt idx="15">
                  <c:v>27.396048964640002</c:v>
                </c:pt>
                <c:pt idx="16">
                  <c:v>28.213484193480312</c:v>
                </c:pt>
                <c:pt idx="17">
                  <c:v>29.080460951341252</c:v>
                </c:pt>
                <c:pt idx="18">
                  <c:v>29.996979238222814</c:v>
                </c:pt>
                <c:pt idx="19">
                  <c:v>30.963039054124998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10D-447A-9F24-0AC4F8D6B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659800"/>
        <c:axId val="423659472"/>
      </c:scatterChart>
      <c:valAx>
        <c:axId val="423659800"/>
        <c:scaling>
          <c:orientation val="minMax"/>
          <c:max val="2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Carga de circuito en p.u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659472"/>
        <c:crosses val="autoZero"/>
        <c:crossBetween val="midCat"/>
        <c:majorUnit val="0.1"/>
      </c:valAx>
      <c:valAx>
        <c:axId val="423659472"/>
        <c:scaling>
          <c:orientation val="minMax"/>
          <c:max val="61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Costo</a:t>
                </a:r>
                <a:r>
                  <a:rPr lang="es-CO" sz="1400" b="1" baseline="0"/>
                  <a:t> en millones ($ COP)</a:t>
                </a:r>
                <a:endParaRPr lang="es-CO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659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Conductor</a:t>
            </a:r>
            <a:r>
              <a:rPr lang="es-CO" sz="2000" b="1" baseline="0"/>
              <a:t> económico 7.261 kV </a:t>
            </a:r>
            <a:endParaRPr lang="es-CO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7.62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7.62 kV'!$H$4:$H$23</c:f>
              <c:numCache>
                <c:formatCode>_("$"* #,##0.00_);_("$"* \(#,##0.00\);_("$"* "-"??_);_(@_)</c:formatCode>
                <c:ptCount val="20"/>
                <c:pt idx="0">
                  <c:v>221.72707033053342</c:v>
                </c:pt>
                <c:pt idx="1">
                  <c:v>258.78988132213362</c:v>
                </c:pt>
                <c:pt idx="2">
                  <c:v>320.56123297480065</c:v>
                </c:pt>
                <c:pt idx="3">
                  <c:v>407.04112528853454</c:v>
                </c:pt>
                <c:pt idx="4">
                  <c:v>518.22955826333509</c:v>
                </c:pt>
                <c:pt idx="5">
                  <c:v>654.12653189920263</c:v>
                </c:pt>
                <c:pt idx="6">
                  <c:v>814.73204619613659</c:v>
                </c:pt>
                <c:pt idx="7">
                  <c:v>1000.0461011541381</c:v>
                </c:pt>
                <c:pt idx="8">
                  <c:v>1210.0686967732058</c:v>
                </c:pt>
                <c:pt idx="9">
                  <c:v>1444.7998330533405</c:v>
                </c:pt>
                <c:pt idx="10">
                  <c:v>1704.2395099945418</c:v>
                </c:pt>
                <c:pt idx="11">
                  <c:v>1988.38772759681</c:v>
                </c:pt>
                <c:pt idx="12">
                  <c:v>2297.2444858601457</c:v>
                </c:pt>
                <c:pt idx="13">
                  <c:v>2630.8097847845465</c:v>
                </c:pt>
                <c:pt idx="14">
                  <c:v>2989.0836243700164</c:v>
                </c:pt>
                <c:pt idx="15">
                  <c:v>3372.0660046165522</c:v>
                </c:pt>
                <c:pt idx="16">
                  <c:v>3779.7569255241542</c:v>
                </c:pt>
                <c:pt idx="17">
                  <c:v>4212.1563870928221</c:v>
                </c:pt>
                <c:pt idx="18">
                  <c:v>4669.2643893225595</c:v>
                </c:pt>
                <c:pt idx="19">
                  <c:v>5151.0809322133618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67-47A9-AD3C-BA7CEFCD6D65}"/>
            </c:ext>
          </c:extLst>
        </c:ser>
        <c:ser>
          <c:idx val="1"/>
          <c:order val="1"/>
          <c:tx>
            <c:v>1/0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7.62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7.62 kV'!$I$4:$I$23</c:f>
              <c:numCache>
                <c:formatCode>_("$"* #,##0.00_);_("$"* \(#,##0.00\);_("$"* "-"??_);_(@_)</c:formatCode>
                <c:ptCount val="20"/>
                <c:pt idx="0">
                  <c:v>325.44309721842808</c:v>
                </c:pt>
                <c:pt idx="1">
                  <c:v>348.73718887371223</c:v>
                </c:pt>
                <c:pt idx="2">
                  <c:v>387.56067496585257</c:v>
                </c:pt>
                <c:pt idx="3">
                  <c:v>441.91355549484905</c:v>
                </c:pt>
                <c:pt idx="4">
                  <c:v>511.79583046070161</c:v>
                </c:pt>
                <c:pt idx="5">
                  <c:v>597.20749986341025</c:v>
                </c:pt>
                <c:pt idx="6">
                  <c:v>698.14856370297503</c:v>
                </c:pt>
                <c:pt idx="7">
                  <c:v>814.61902197939605</c:v>
                </c:pt>
                <c:pt idx="8">
                  <c:v>946.6188746926731</c:v>
                </c:pt>
                <c:pt idx="9">
                  <c:v>1094.1481218428064</c:v>
                </c:pt>
                <c:pt idx="10">
                  <c:v>1257.2067634297957</c:v>
                </c:pt>
                <c:pt idx="11">
                  <c:v>1435.7947994536412</c:v>
                </c:pt>
                <c:pt idx="12">
                  <c:v>1629.9122299143426</c:v>
                </c:pt>
                <c:pt idx="13">
                  <c:v>1839.5590548119001</c:v>
                </c:pt>
                <c:pt idx="14">
                  <c:v>2064.7352741463142</c:v>
                </c:pt>
                <c:pt idx="15">
                  <c:v>2305.4408879175844</c:v>
                </c:pt>
                <c:pt idx="16">
                  <c:v>2561.6758961257106</c:v>
                </c:pt>
                <c:pt idx="17">
                  <c:v>2833.4402987706922</c:v>
                </c:pt>
                <c:pt idx="18">
                  <c:v>3120.7340958525315</c:v>
                </c:pt>
                <c:pt idx="19">
                  <c:v>3423.5572873712254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67-47A9-AD3C-BA7CEFCD6D65}"/>
            </c:ext>
          </c:extLst>
        </c:ser>
        <c:ser>
          <c:idx val="2"/>
          <c:order val="2"/>
          <c:tx>
            <c:v>2/0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7.62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7.62 kV'!$J$4:$J$23</c:f>
              <c:numCache>
                <c:formatCode>_("$"* #,##0.00_);_("$"* \(#,##0.00\);_("$"* "-"??_);_(@_)</c:formatCode>
                <c:ptCount val="20"/>
                <c:pt idx="0">
                  <c:v>388.56411756502746</c:v>
                </c:pt>
                <c:pt idx="1">
                  <c:v>407.06367026010992</c:v>
                </c:pt>
                <c:pt idx="2">
                  <c:v>437.89625808524727</c:v>
                </c:pt>
                <c:pt idx="3">
                  <c:v>481.06188104043963</c:v>
                </c:pt>
                <c:pt idx="4">
                  <c:v>536.56053912568677</c:v>
                </c:pt>
                <c:pt idx="5">
                  <c:v>604.39223234098904</c:v>
                </c:pt>
                <c:pt idx="6">
                  <c:v>684.55696068634609</c:v>
                </c:pt>
                <c:pt idx="7">
                  <c:v>777.05472416175837</c:v>
                </c:pt>
                <c:pt idx="8">
                  <c:v>881.88552276722521</c:v>
                </c:pt>
                <c:pt idx="9">
                  <c:v>999.04935650274717</c:v>
                </c:pt>
                <c:pt idx="10">
                  <c:v>1128.5462253683243</c:v>
                </c:pt>
                <c:pt idx="11">
                  <c:v>1270.3761293639559</c:v>
                </c:pt>
                <c:pt idx="12">
                  <c:v>1424.5390684896427</c:v>
                </c:pt>
                <c:pt idx="13">
                  <c:v>1591.0350427453845</c:v>
                </c:pt>
                <c:pt idx="14">
                  <c:v>1769.8640521311816</c:v>
                </c:pt>
                <c:pt idx="15">
                  <c:v>1961.0260966470335</c:v>
                </c:pt>
                <c:pt idx="16">
                  <c:v>2164.5211762929398</c:v>
                </c:pt>
                <c:pt idx="17">
                  <c:v>2380.349291068901</c:v>
                </c:pt>
                <c:pt idx="18">
                  <c:v>2608.5104409749179</c:v>
                </c:pt>
                <c:pt idx="19">
                  <c:v>2849.0046260109889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67-47A9-AD3C-BA7CEFCD6D65}"/>
            </c:ext>
          </c:extLst>
        </c:ser>
        <c:ser>
          <c:idx val="3"/>
          <c:order val="3"/>
          <c:tx>
            <c:v>3/0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7.62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7.62 kV'!$K$4:$K$23</c:f>
              <c:numCache>
                <c:formatCode>_("$"* #,##0.00_);_("$"* \(#,##0.00\);_("$"* "-"??_);_(@_)</c:formatCode>
                <c:ptCount val="20"/>
                <c:pt idx="0">
                  <c:v>459.93215899714784</c:v>
                </c:pt>
                <c:pt idx="1">
                  <c:v>474.60383598859141</c:v>
                </c:pt>
                <c:pt idx="2">
                  <c:v>499.05663097433069</c:v>
                </c:pt>
                <c:pt idx="3">
                  <c:v>533.29054395436572</c:v>
                </c:pt>
                <c:pt idx="4">
                  <c:v>577.30557492869639</c:v>
                </c:pt>
                <c:pt idx="5">
                  <c:v>631.10172389732281</c:v>
                </c:pt>
                <c:pt idx="6">
                  <c:v>694.67899086024477</c:v>
                </c:pt>
                <c:pt idx="7">
                  <c:v>768.0373758174627</c:v>
                </c:pt>
                <c:pt idx="8">
                  <c:v>851.17687876897617</c:v>
                </c:pt>
                <c:pt idx="9">
                  <c:v>944.0974997147855</c:v>
                </c:pt>
                <c:pt idx="10">
                  <c:v>1046.7992386548904</c:v>
                </c:pt>
                <c:pt idx="11">
                  <c:v>1159.2820955892912</c:v>
                </c:pt>
                <c:pt idx="12">
                  <c:v>1281.5460705179873</c:v>
                </c:pt>
                <c:pt idx="13">
                  <c:v>1413.5911634409792</c:v>
                </c:pt>
                <c:pt idx="14">
                  <c:v>1555.4173743582674</c:v>
                </c:pt>
                <c:pt idx="15">
                  <c:v>1707.0247032698508</c:v>
                </c:pt>
                <c:pt idx="16">
                  <c:v>1868.4131501757297</c:v>
                </c:pt>
                <c:pt idx="17">
                  <c:v>2039.5827150759046</c:v>
                </c:pt>
                <c:pt idx="18">
                  <c:v>2220.5333979703755</c:v>
                </c:pt>
                <c:pt idx="19">
                  <c:v>2411.2651988591419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67-47A9-AD3C-BA7CEFCD6D65}"/>
            </c:ext>
          </c:extLst>
        </c:ser>
        <c:ser>
          <c:idx val="4"/>
          <c:order val="4"/>
          <c:tx>
            <c:v>4/0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7.62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7.62 kV'!$L$4:$L$23</c:f>
              <c:numCache>
                <c:formatCode>_("$"* #,##0.00_);_("$"* \(#,##0.00\);_("$"* "-"??_);_(@_)</c:formatCode>
                <c:ptCount val="20"/>
                <c:pt idx="0">
                  <c:v>539.48720899169791</c:v>
                </c:pt>
                <c:pt idx="1">
                  <c:v>551.11763596679168</c:v>
                </c:pt>
                <c:pt idx="2">
                  <c:v>570.50168092528122</c:v>
                </c:pt>
                <c:pt idx="3">
                  <c:v>597.63934386716664</c:v>
                </c:pt>
                <c:pt idx="4">
                  <c:v>632.53062479244784</c:v>
                </c:pt>
                <c:pt idx="5">
                  <c:v>675.17552370112492</c:v>
                </c:pt>
                <c:pt idx="6">
                  <c:v>725.57404059319754</c:v>
                </c:pt>
                <c:pt idx="7">
                  <c:v>783.72617546866638</c:v>
                </c:pt>
                <c:pt idx="8">
                  <c:v>849.63192832753089</c:v>
                </c:pt>
                <c:pt idx="9">
                  <c:v>923.29129916979127</c:v>
                </c:pt>
                <c:pt idx="10">
                  <c:v>1004.7042879954474</c:v>
                </c:pt>
                <c:pt idx="11">
                  <c:v>1093.8708948044994</c:v>
                </c:pt>
                <c:pt idx="12">
                  <c:v>1190.7911195969473</c:v>
                </c:pt>
                <c:pt idx="13">
                  <c:v>1295.4649623727905</c:v>
                </c:pt>
                <c:pt idx="14">
                  <c:v>1407.8924231320304</c:v>
                </c:pt>
                <c:pt idx="15">
                  <c:v>1528.0735018746657</c:v>
                </c:pt>
                <c:pt idx="16">
                  <c:v>1656.0081986006969</c:v>
                </c:pt>
                <c:pt idx="17">
                  <c:v>1791.6965133101232</c:v>
                </c:pt>
                <c:pt idx="18">
                  <c:v>1935.1384460029465</c:v>
                </c:pt>
                <c:pt idx="19">
                  <c:v>2086.3339966791646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667-47A9-AD3C-BA7CEFCD6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659800"/>
        <c:axId val="423659472"/>
      </c:scatterChart>
      <c:valAx>
        <c:axId val="423659800"/>
        <c:scaling>
          <c:orientation val="minMax"/>
          <c:max val="1.2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Carga de circuito en p.u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659472"/>
        <c:crosses val="autoZero"/>
        <c:crossBetween val="midCat"/>
        <c:majorUnit val="0.1"/>
        <c:minorUnit val="0.1"/>
      </c:valAx>
      <c:valAx>
        <c:axId val="423659472"/>
        <c:scaling>
          <c:orientation val="minMax"/>
          <c:max val="1857"/>
          <c:min val="2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Costo</a:t>
                </a:r>
                <a:r>
                  <a:rPr lang="es-CO" sz="1400" b="1" baseline="0"/>
                  <a:t> en millones ($ COP)</a:t>
                </a:r>
                <a:endParaRPr lang="es-CO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659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Conductor</a:t>
            </a:r>
            <a:r>
              <a:rPr lang="es-CO" sz="2000" b="1" baseline="0"/>
              <a:t> económico 13.2 kV</a:t>
            </a:r>
            <a:endParaRPr lang="es-CO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13.2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13.2 kV'!$H$4:$H$23</c:f>
              <c:numCache>
                <c:formatCode>_("$"* #,##0.00_);_("$"* \(#,##0.00\);_("$"* "-"??_);_(@_)</c:formatCode>
                <c:ptCount val="20"/>
                <c:pt idx="0">
                  <c:v>644.75106696216369</c:v>
                </c:pt>
                <c:pt idx="1">
                  <c:v>672.93386784865504</c:v>
                </c:pt>
                <c:pt idx="2">
                  <c:v>719.90520265947362</c:v>
                </c:pt>
                <c:pt idx="3">
                  <c:v>785.66507139461987</c:v>
                </c:pt>
                <c:pt idx="4">
                  <c:v>870.21347405409347</c:v>
                </c:pt>
                <c:pt idx="5">
                  <c:v>973.55041063789463</c:v>
                </c:pt>
                <c:pt idx="6">
                  <c:v>1095.6758811460234</c:v>
                </c:pt>
                <c:pt idx="7">
                  <c:v>1236.5898855784792</c:v>
                </c:pt>
                <c:pt idx="8">
                  <c:v>1396.2924239352631</c:v>
                </c:pt>
                <c:pt idx="9">
                  <c:v>1574.783496216374</c:v>
                </c:pt>
                <c:pt idx="10">
                  <c:v>1772.0631024218126</c:v>
                </c:pt>
                <c:pt idx="11">
                  <c:v>1988.1312425515787</c:v>
                </c:pt>
                <c:pt idx="12">
                  <c:v>2222.9879166056726</c:v>
                </c:pt>
                <c:pt idx="13">
                  <c:v>2476.6331245840929</c:v>
                </c:pt>
                <c:pt idx="14">
                  <c:v>2749.0668664868417</c:v>
                </c:pt>
                <c:pt idx="15">
                  <c:v>3040.2891423139172</c:v>
                </c:pt>
                <c:pt idx="16">
                  <c:v>3350.2999520653216</c:v>
                </c:pt>
                <c:pt idx="17">
                  <c:v>3679.0992957410522</c:v>
                </c:pt>
                <c:pt idx="18">
                  <c:v>4026.6871733411094</c:v>
                </c:pt>
                <c:pt idx="19">
                  <c:v>4393.0635848654956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3A-4A2B-BDEA-AC1021F45D67}"/>
            </c:ext>
          </c:extLst>
        </c:ser>
        <c:ser>
          <c:idx val="1"/>
          <c:order val="1"/>
          <c:tx>
            <c:v>2/0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13.2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13.2 kV'!$I$4:$I$23</c:f>
              <c:numCache>
                <c:formatCode>_("$"* #,##0.00_);_("$"* \(#,##0.00\);_("$"* "-"??_);_(@_)</c:formatCode>
                <c:ptCount val="20"/>
                <c:pt idx="0">
                  <c:v>772.25587883951152</c:v>
                </c:pt>
                <c:pt idx="1">
                  <c:v>794.63791535804592</c:v>
                </c:pt>
                <c:pt idx="2">
                  <c:v>831.94130955560354</c:v>
                </c:pt>
                <c:pt idx="3">
                  <c:v>884.16606143218382</c:v>
                </c:pt>
                <c:pt idx="4">
                  <c:v>951.31217098778723</c:v>
                </c:pt>
                <c:pt idx="5">
                  <c:v>1033.3796382224139</c:v>
                </c:pt>
                <c:pt idx="6">
                  <c:v>1130.3684631360632</c:v>
                </c:pt>
                <c:pt idx="7">
                  <c:v>1242.2786457287355</c:v>
                </c:pt>
                <c:pt idx="8">
                  <c:v>1369.1101860004308</c:v>
                </c:pt>
                <c:pt idx="9">
                  <c:v>1510.8630839511491</c:v>
                </c:pt>
                <c:pt idx="10">
                  <c:v>1667.5373395808901</c:v>
                </c:pt>
                <c:pt idx="11">
                  <c:v>1839.1329528896551</c:v>
                </c:pt>
                <c:pt idx="12">
                  <c:v>2025.6499238774416</c:v>
                </c:pt>
                <c:pt idx="13">
                  <c:v>2227.0882525442526</c:v>
                </c:pt>
                <c:pt idx="14">
                  <c:v>2443.4479388900854</c:v>
                </c:pt>
                <c:pt idx="15">
                  <c:v>2674.7289829149413</c:v>
                </c:pt>
                <c:pt idx="16">
                  <c:v>2920.9313846188211</c:v>
                </c:pt>
                <c:pt idx="17">
                  <c:v>3182.0551440017234</c:v>
                </c:pt>
                <c:pt idx="18">
                  <c:v>3458.1002610636474</c:v>
                </c:pt>
                <c:pt idx="19">
                  <c:v>3749.0667358045953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3A-4A2B-BDEA-AC1021F45D67}"/>
            </c:ext>
          </c:extLst>
        </c:ser>
        <c:ser>
          <c:idx val="2"/>
          <c:order val="2"/>
          <c:tx>
            <c:v>3/0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13.2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13.2 kV'!$J$4:$J$23</c:f>
              <c:numCache>
                <c:formatCode>_("$"* #,##0.00_);_("$"* \(#,##0.00\);_("$"* "-"??_);_(@_)</c:formatCode>
                <c:ptCount val="20"/>
                <c:pt idx="0">
                  <c:v>916.00013604025935</c:v>
                </c:pt>
                <c:pt idx="1">
                  <c:v>933.75094416103741</c:v>
                </c:pt>
                <c:pt idx="2">
                  <c:v>963.33562436233433</c:v>
                </c:pt>
                <c:pt idx="3">
                  <c:v>1004.75417664415</c:v>
                </c:pt>
                <c:pt idx="4">
                  <c:v>1058.0066010064843</c:v>
                </c:pt>
                <c:pt idx="5">
                  <c:v>1123.0928974493374</c:v>
                </c:pt>
                <c:pt idx="6">
                  <c:v>1200.0130659727095</c:v>
                </c:pt>
                <c:pt idx="7">
                  <c:v>1288.7671065765999</c:v>
                </c:pt>
                <c:pt idx="8">
                  <c:v>1389.3550192610091</c:v>
                </c:pt>
                <c:pt idx="9">
                  <c:v>1501.7768040259371</c:v>
                </c:pt>
                <c:pt idx="10">
                  <c:v>1626.032460871384</c:v>
                </c:pt>
                <c:pt idx="11">
                  <c:v>1762.1219897973501</c:v>
                </c:pt>
                <c:pt idx="12">
                  <c:v>1910.0453908038342</c:v>
                </c:pt>
                <c:pt idx="13">
                  <c:v>2069.8026638908377</c:v>
                </c:pt>
                <c:pt idx="14">
                  <c:v>2241.3938090583592</c:v>
                </c:pt>
                <c:pt idx="15">
                  <c:v>2424.8188263063994</c:v>
                </c:pt>
                <c:pt idx="16">
                  <c:v>2620.0777156349591</c:v>
                </c:pt>
                <c:pt idx="17">
                  <c:v>2827.1704770440374</c:v>
                </c:pt>
                <c:pt idx="18">
                  <c:v>3046.0971105336334</c:v>
                </c:pt>
                <c:pt idx="19">
                  <c:v>3276.857616103749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3A-4A2B-BDEA-AC1021F45D67}"/>
            </c:ext>
          </c:extLst>
        </c:ser>
        <c:ser>
          <c:idx val="3"/>
          <c:order val="3"/>
          <c:tx>
            <c:v>4/0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13.2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13.2 kV'!$K$4:$K$23</c:f>
              <c:numCache>
                <c:formatCode>_("$"* #,##0.00_);_("$"* \(#,##0.00\);_("$"* "-"??_);_(@_)</c:formatCode>
                <c:ptCount val="20"/>
                <c:pt idx="0">
                  <c:v>1075.9112312692182</c:v>
                </c:pt>
                <c:pt idx="1">
                  <c:v>1089.9825250768731</c:v>
                </c:pt>
                <c:pt idx="2">
                  <c:v>1113.4346814229643</c:v>
                </c:pt>
                <c:pt idx="3">
                  <c:v>1146.2677003074921</c:v>
                </c:pt>
                <c:pt idx="4">
                  <c:v>1188.4815817304564</c:v>
                </c:pt>
                <c:pt idx="5">
                  <c:v>1240.0763256918574</c:v>
                </c:pt>
                <c:pt idx="6">
                  <c:v>1301.0519321916947</c:v>
                </c:pt>
                <c:pt idx="7">
                  <c:v>1371.4084012299686</c:v>
                </c:pt>
                <c:pt idx="8">
                  <c:v>1451.145732806679</c:v>
                </c:pt>
                <c:pt idx="9">
                  <c:v>1540.2639269218257</c:v>
                </c:pt>
                <c:pt idx="10">
                  <c:v>1638.762983575409</c:v>
                </c:pt>
                <c:pt idx="11">
                  <c:v>1746.6429027674294</c:v>
                </c:pt>
                <c:pt idx="12">
                  <c:v>1863.9036844978855</c:v>
                </c:pt>
                <c:pt idx="13">
                  <c:v>1990.545328766779</c:v>
                </c:pt>
                <c:pt idx="14">
                  <c:v>2126.5678355741079</c:v>
                </c:pt>
                <c:pt idx="15">
                  <c:v>2271.9712049198738</c:v>
                </c:pt>
                <c:pt idx="16">
                  <c:v>2426.7554368040765</c:v>
                </c:pt>
                <c:pt idx="17">
                  <c:v>2590.9205312267159</c:v>
                </c:pt>
                <c:pt idx="18">
                  <c:v>2764.4664881877907</c:v>
                </c:pt>
                <c:pt idx="19">
                  <c:v>2947.3933076873027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3A-4A2B-BDEA-AC1021F45D67}"/>
            </c:ext>
          </c:extLst>
        </c:ser>
        <c:ser>
          <c:idx val="4"/>
          <c:order val="4"/>
          <c:tx>
            <c:v>266 kcmil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13.2 kV'!$G$4:$G$23</c:f>
              <c:numCache>
                <c:formatCode>0.0</c:formatCode>
                <c:ptCount val="20"/>
                <c:pt idx="0">
                  <c:v>9.9999999999999992E-2</c:v>
                </c:pt>
                <c:pt idx="1">
                  <c:v>0.19999999999999998</c:v>
                </c:pt>
                <c:pt idx="2">
                  <c:v>0.3</c:v>
                </c:pt>
                <c:pt idx="3">
                  <c:v>0.39999999999999997</c:v>
                </c:pt>
                <c:pt idx="4">
                  <c:v>0.5</c:v>
                </c:pt>
                <c:pt idx="5">
                  <c:v>0.6</c:v>
                </c:pt>
                <c:pt idx="6">
                  <c:v>0.70000000000000007</c:v>
                </c:pt>
                <c:pt idx="7">
                  <c:v>0.79999999999999993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</c:v>
                </c:pt>
                <c:pt idx="15">
                  <c:v>1.5999999999999999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</c:numCache>
            </c:numRef>
          </c:xVal>
          <c:yVal>
            <c:numRef>
              <c:f>'Conductor económico 13.2 kV'!$L$4:$L$23</c:f>
              <c:numCache>
                <c:formatCode>_("$"* #,##0.00_);_("$"* \(#,##0.00\);_("$"* "-"??_);_(@_)</c:formatCode>
                <c:ptCount val="20"/>
                <c:pt idx="0">
                  <c:v>1283.6649067848655</c:v>
                </c:pt>
                <c:pt idx="1">
                  <c:v>1294.9380271394621</c:v>
                </c:pt>
                <c:pt idx="2">
                  <c:v>1313.7265610637894</c:v>
                </c:pt>
                <c:pt idx="3">
                  <c:v>1340.030508557848</c:v>
                </c:pt>
                <c:pt idx="4">
                  <c:v>1373.8498696216373</c:v>
                </c:pt>
                <c:pt idx="5">
                  <c:v>1415.184644255158</c:v>
                </c:pt>
                <c:pt idx="6">
                  <c:v>1464.0348324584093</c:v>
                </c:pt>
                <c:pt idx="7">
                  <c:v>1520.4004342313917</c:v>
                </c:pt>
                <c:pt idx="8">
                  <c:v>1584.2814495741052</c:v>
                </c:pt>
                <c:pt idx="9">
                  <c:v>1655.6778784865496</c:v>
                </c:pt>
                <c:pt idx="10">
                  <c:v>1734.589720968725</c:v>
                </c:pt>
                <c:pt idx="11">
                  <c:v>1821.0169770206319</c:v>
                </c:pt>
                <c:pt idx="12">
                  <c:v>1914.9596466422688</c:v>
                </c:pt>
                <c:pt idx="13">
                  <c:v>2016.4177298336372</c:v>
                </c:pt>
                <c:pt idx="14">
                  <c:v>2125.3912265947365</c:v>
                </c:pt>
                <c:pt idx="15">
                  <c:v>2241.8801369255671</c:v>
                </c:pt>
                <c:pt idx="16">
                  <c:v>2365.8844608261284</c:v>
                </c:pt>
                <c:pt idx="17">
                  <c:v>2497.4041982964209</c:v>
                </c:pt>
                <c:pt idx="18">
                  <c:v>2636.4393493364437</c:v>
                </c:pt>
                <c:pt idx="19">
                  <c:v>2782.9899139461986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43A-4A2B-BDEA-AC1021F45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659800"/>
        <c:axId val="423659472"/>
      </c:scatterChart>
      <c:valAx>
        <c:axId val="423659800"/>
        <c:scaling>
          <c:orientation val="minMax"/>
          <c:max val="2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Carga de circuito en p.u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659472"/>
        <c:crosses val="autoZero"/>
        <c:crossBetween val="midCat"/>
        <c:majorUnit val="0.1"/>
      </c:valAx>
      <c:valAx>
        <c:axId val="423659472"/>
        <c:scaling>
          <c:orientation val="minMax"/>
          <c:max val="4394"/>
          <c:min val="6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Costo</a:t>
                </a:r>
                <a:r>
                  <a:rPr lang="es-CO" sz="1400" b="1" baseline="0"/>
                  <a:t> en millones ($ COP)</a:t>
                </a:r>
                <a:endParaRPr lang="es-CO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659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Conductor</a:t>
            </a:r>
            <a:r>
              <a:rPr lang="es-CO" sz="2000" b="1" baseline="0"/>
              <a:t> económico 44 kV </a:t>
            </a:r>
            <a:endParaRPr lang="es-CO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44 kV'!$G$4:$G$28</c:f>
              <c:numCache>
                <c:formatCode>0.0</c:formatCode>
                <c:ptCount val="2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</c:numCache>
            </c:numRef>
          </c:xVal>
          <c:yVal>
            <c:numRef>
              <c:f>'Conductor económico 44 kV'!$H$4:$H$28</c:f>
              <c:numCache>
                <c:formatCode>_("$"* #,##0.00_);_("$"* \(#,##0.00\);_("$"* "-"??_);_(@_)</c:formatCode>
                <c:ptCount val="25"/>
                <c:pt idx="0">
                  <c:v>740.86131506576362</c:v>
                </c:pt>
                <c:pt idx="1">
                  <c:v>757.30526026305415</c:v>
                </c:pt>
                <c:pt idx="2">
                  <c:v>784.71183559187182</c:v>
                </c:pt>
                <c:pt idx="3">
                  <c:v>823.08104105221662</c:v>
                </c:pt>
                <c:pt idx="4">
                  <c:v>872.41287664408856</c:v>
                </c:pt>
                <c:pt idx="5">
                  <c:v>932.70734236748763</c:v>
                </c:pt>
                <c:pt idx="6">
                  <c:v>1003.9644382224135</c:v>
                </c:pt>
                <c:pt idx="7">
                  <c:v>1086.1841642088666</c:v>
                </c:pt>
                <c:pt idx="8">
                  <c:v>1179.3665203268467</c:v>
                </c:pt>
                <c:pt idx="9">
                  <c:v>1283.5115065763541</c:v>
                </c:pt>
                <c:pt idx="10">
                  <c:v>1398.6191229573885</c:v>
                </c:pt>
                <c:pt idx="11">
                  <c:v>1524.6893694699504</c:v>
                </c:pt>
                <c:pt idx="12">
                  <c:v>1661.7222461140384</c:v>
                </c:pt>
                <c:pt idx="13">
                  <c:v>1809.7177528896541</c:v>
                </c:pt>
                <c:pt idx="14">
                  <c:v>1968.675889796797</c:v>
                </c:pt>
                <c:pt idx="15">
                  <c:v>2138.596656835467</c:v>
                </c:pt>
                <c:pt idx="16">
                  <c:v>2319.480054005664</c:v>
                </c:pt>
                <c:pt idx="17">
                  <c:v>2511.3260813073875</c:v>
                </c:pt>
                <c:pt idx="18">
                  <c:v>2714.1347387406386</c:v>
                </c:pt>
                <c:pt idx="19">
                  <c:v>2927.9060263054166</c:v>
                </c:pt>
                <c:pt idx="20">
                  <c:v>3152.6399440017217</c:v>
                </c:pt>
                <c:pt idx="21">
                  <c:v>3388.3364918295547</c:v>
                </c:pt>
                <c:pt idx="22">
                  <c:v>3634.9956697889143</c:v>
                </c:pt>
                <c:pt idx="23">
                  <c:v>3892.6174778798018</c:v>
                </c:pt>
                <c:pt idx="24">
                  <c:v>4161.2019161022145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FC-457F-8551-6D393C94482C}"/>
            </c:ext>
          </c:extLst>
        </c:ser>
        <c:ser>
          <c:idx val="1"/>
          <c:order val="1"/>
          <c:tx>
            <c:v>3/0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44 kV'!$G$4:$G$28</c:f>
              <c:numCache>
                <c:formatCode>0.0</c:formatCode>
                <c:ptCount val="2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</c:numCache>
            </c:numRef>
          </c:xVal>
          <c:yVal>
            <c:numRef>
              <c:f>'Conductor económico 44 kV'!$I$4:$I$28</c:f>
              <c:numCache>
                <c:formatCode>_("$"* #,##0.00_);_("$"* \(#,##0.00\);_("$"* "-"??_);_(@_)</c:formatCode>
                <c:ptCount val="25"/>
                <c:pt idx="0">
                  <c:v>879.42713668263946</c:v>
                </c:pt>
                <c:pt idx="1">
                  <c:v>892.46854673055816</c:v>
                </c:pt>
                <c:pt idx="2">
                  <c:v>914.20423014375592</c:v>
                </c:pt>
                <c:pt idx="3">
                  <c:v>944.63418692223263</c:v>
                </c:pt>
                <c:pt idx="4">
                  <c:v>983.7584170659884</c:v>
                </c:pt>
                <c:pt idx="5">
                  <c:v>1031.5769205750235</c:v>
                </c:pt>
                <c:pt idx="6">
                  <c:v>1088.0896974493376</c:v>
                </c:pt>
                <c:pt idx="7">
                  <c:v>1153.2967476889305</c:v>
                </c:pt>
                <c:pt idx="8">
                  <c:v>1227.1980712938027</c:v>
                </c:pt>
                <c:pt idx="9">
                  <c:v>1309.793668263954</c:v>
                </c:pt>
                <c:pt idx="10">
                  <c:v>1401.0835385993842</c:v>
                </c:pt>
                <c:pt idx="11">
                  <c:v>1501.0676823000938</c:v>
                </c:pt>
                <c:pt idx="12">
                  <c:v>1609.746099366082</c:v>
                </c:pt>
                <c:pt idx="13">
                  <c:v>1727.1187897973496</c:v>
                </c:pt>
                <c:pt idx="14">
                  <c:v>1853.1857535938959</c:v>
                </c:pt>
                <c:pt idx="15">
                  <c:v>1987.9469907557218</c:v>
                </c:pt>
                <c:pt idx="16">
                  <c:v>2131.4025012828265</c:v>
                </c:pt>
                <c:pt idx="17">
                  <c:v>2283.5522851752103</c:v>
                </c:pt>
                <c:pt idx="18">
                  <c:v>2444.3963424328731</c:v>
                </c:pt>
                <c:pt idx="19">
                  <c:v>2613.9346730558159</c:v>
                </c:pt>
                <c:pt idx="20">
                  <c:v>2792.1672770440364</c:v>
                </c:pt>
                <c:pt idx="21">
                  <c:v>2979.0941543975364</c:v>
                </c:pt>
                <c:pt idx="22">
                  <c:v>3174.7153051163164</c:v>
                </c:pt>
                <c:pt idx="23">
                  <c:v>3379.0307292003754</c:v>
                </c:pt>
                <c:pt idx="24">
                  <c:v>3592.0404266497117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FC-457F-8551-6D393C94482C}"/>
            </c:ext>
          </c:extLst>
        </c:ser>
        <c:ser>
          <c:idx val="2"/>
          <c:order val="2"/>
          <c:tx>
            <c:v>4/0 AWG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44 kV'!$G$4:$G$28</c:f>
              <c:numCache>
                <c:formatCode>0.0</c:formatCode>
                <c:ptCount val="2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</c:numCache>
            </c:numRef>
          </c:xVal>
          <c:yVal>
            <c:numRef>
              <c:f>'Conductor económico 44 kV'!$J$4:$J$28</c:f>
              <c:numCache>
                <c:formatCode>_("$"* #,##0.00_);_("$"* \(#,##0.00\);_("$"* "-"??_);_(@_)</c:formatCode>
                <c:ptCount val="25"/>
                <c:pt idx="0">
                  <c:v>1033.4660311365685</c:v>
                </c:pt>
                <c:pt idx="1">
                  <c:v>1043.8041245462741</c:v>
                </c:pt>
                <c:pt idx="2">
                  <c:v>1061.0342802291166</c:v>
                </c:pt>
                <c:pt idx="3">
                  <c:v>1085.1564981850963</c:v>
                </c:pt>
                <c:pt idx="4">
                  <c:v>1116.1707784142129</c:v>
                </c:pt>
                <c:pt idx="5">
                  <c:v>1154.0771209164668</c:v>
                </c:pt>
                <c:pt idx="6">
                  <c:v>1198.8755256918571</c:v>
                </c:pt>
                <c:pt idx="7">
                  <c:v>1250.5659927403851</c:v>
                </c:pt>
                <c:pt idx="8">
                  <c:v>1309.1485220620496</c:v>
                </c:pt>
                <c:pt idx="9">
                  <c:v>1374.6231136568515</c:v>
                </c:pt>
                <c:pt idx="10">
                  <c:v>1446.9897675247903</c:v>
                </c:pt>
                <c:pt idx="11">
                  <c:v>1526.2484836658664</c:v>
                </c:pt>
                <c:pt idx="12">
                  <c:v>1612.3992620800789</c:v>
                </c:pt>
                <c:pt idx="13">
                  <c:v>1705.4421027674289</c:v>
                </c:pt>
                <c:pt idx="14">
                  <c:v>1805.3770057279157</c:v>
                </c:pt>
                <c:pt idx="15">
                  <c:v>1912.2039709615399</c:v>
                </c:pt>
                <c:pt idx="16">
                  <c:v>2025.9229984683009</c:v>
                </c:pt>
                <c:pt idx="17">
                  <c:v>2146.5340882481987</c:v>
                </c:pt>
                <c:pt idx="18">
                  <c:v>2274.0372403012343</c:v>
                </c:pt>
                <c:pt idx="19">
                  <c:v>2408.4324546274061</c:v>
                </c:pt>
                <c:pt idx="20">
                  <c:v>2549.7197312267149</c:v>
                </c:pt>
                <c:pt idx="21">
                  <c:v>2697.8990700991612</c:v>
                </c:pt>
                <c:pt idx="22">
                  <c:v>2852.9704712447442</c:v>
                </c:pt>
                <c:pt idx="23">
                  <c:v>3014.9339346634656</c:v>
                </c:pt>
                <c:pt idx="24">
                  <c:v>3183.7894603553218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FC-457F-8551-6D393C94482C}"/>
            </c:ext>
          </c:extLst>
        </c:ser>
        <c:ser>
          <c:idx val="3"/>
          <c:order val="3"/>
          <c:tx>
            <c:v>266 kcmil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44 kV'!$G$4:$G$28</c:f>
              <c:numCache>
                <c:formatCode>0.0</c:formatCode>
                <c:ptCount val="2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</c:numCache>
            </c:numRef>
          </c:xVal>
          <c:yVal>
            <c:numRef>
              <c:f>'Conductor económico 44 kV'!$K$4:$K$28</c:f>
              <c:numCache>
                <c:formatCode>_("$"* #,##0.00_);_("$"* \(#,##0.00\);_("$"* "-"??_);_(@_)</c:formatCode>
                <c:ptCount val="25"/>
                <c:pt idx="0">
                  <c:v>1233.4407641684725</c:v>
                </c:pt>
                <c:pt idx="1">
                  <c:v>1241.7230566738904</c:v>
                </c:pt>
                <c:pt idx="2">
                  <c:v>1255.5268775162535</c:v>
                </c:pt>
                <c:pt idx="3">
                  <c:v>1274.8522266955617</c:v>
                </c:pt>
                <c:pt idx="4">
                  <c:v>1299.6991042118152</c:v>
                </c:pt>
                <c:pt idx="5">
                  <c:v>1330.0675100650139</c:v>
                </c:pt>
                <c:pt idx="6">
                  <c:v>1365.957444255158</c:v>
                </c:pt>
                <c:pt idx="7">
                  <c:v>1407.368906782247</c:v>
                </c:pt>
                <c:pt idx="8">
                  <c:v>1454.3018976462813</c:v>
                </c:pt>
                <c:pt idx="9">
                  <c:v>1506.7564168472609</c:v>
                </c:pt>
                <c:pt idx="10">
                  <c:v>1564.7324643851857</c:v>
                </c:pt>
                <c:pt idx="11">
                  <c:v>1628.2300402600561</c:v>
                </c:pt>
                <c:pt idx="12">
                  <c:v>1697.249144471871</c:v>
                </c:pt>
                <c:pt idx="13">
                  <c:v>1771.7897770206314</c:v>
                </c:pt>
                <c:pt idx="14">
                  <c:v>1851.8519379063371</c:v>
                </c:pt>
                <c:pt idx="15">
                  <c:v>1937.4356271289878</c:v>
                </c:pt>
                <c:pt idx="16">
                  <c:v>2028.5408446885838</c:v>
                </c:pt>
                <c:pt idx="17">
                  <c:v>2125.1675905851248</c:v>
                </c:pt>
                <c:pt idx="18">
                  <c:v>2227.3158648186118</c:v>
                </c:pt>
                <c:pt idx="19">
                  <c:v>2334.985667389044</c:v>
                </c:pt>
                <c:pt idx="20">
                  <c:v>2448.1769982964202</c:v>
                </c:pt>
                <c:pt idx="21">
                  <c:v>2566.8898575407429</c:v>
                </c:pt>
                <c:pt idx="22">
                  <c:v>2691.1242451220101</c:v>
                </c:pt>
                <c:pt idx="23">
                  <c:v>2820.8801610402238</c:v>
                </c:pt>
                <c:pt idx="24">
                  <c:v>2956.1576052953806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FC-457F-8551-6D393C94482C}"/>
            </c:ext>
          </c:extLst>
        </c:ser>
        <c:ser>
          <c:idx val="4"/>
          <c:order val="4"/>
          <c:tx>
            <c:v>336 kcmil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alpha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'Conductor económico 44 kV'!$G$4:$G$28</c:f>
              <c:numCache>
                <c:formatCode>0.0</c:formatCode>
                <c:ptCount val="2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</c:numCache>
            </c:numRef>
          </c:xVal>
          <c:yVal>
            <c:numRef>
              <c:f>'Conductor económico 44 kV'!$L$4:$L$28</c:f>
              <c:numCache>
                <c:formatCode>_("$"* #,##0.00_);_("$"* \(#,##0.00\);_("$"* "-"??_);_(@_)</c:formatCode>
                <c:ptCount val="25"/>
                <c:pt idx="0">
                  <c:v>1430.9920336189032</c:v>
                </c:pt>
                <c:pt idx="1">
                  <c:v>1437.5681344756129</c:v>
                </c:pt>
                <c:pt idx="2">
                  <c:v>1448.5283025701287</c:v>
                </c:pt>
                <c:pt idx="3">
                  <c:v>1463.8725379024511</c:v>
                </c:pt>
                <c:pt idx="4">
                  <c:v>1483.6008404725796</c:v>
                </c:pt>
                <c:pt idx="5">
                  <c:v>1507.7132102805149</c:v>
                </c:pt>
                <c:pt idx="6">
                  <c:v>1536.2096473262566</c:v>
                </c:pt>
                <c:pt idx="7">
                  <c:v>1569.0901516098045</c:v>
                </c:pt>
                <c:pt idx="8">
                  <c:v>1606.3547231311586</c:v>
                </c:pt>
                <c:pt idx="9">
                  <c:v>1648.0033618903194</c:v>
                </c:pt>
                <c:pt idx="10">
                  <c:v>1694.0360678872862</c:v>
                </c:pt>
                <c:pt idx="11">
                  <c:v>1744.4528411220599</c:v>
                </c:pt>
                <c:pt idx="12">
                  <c:v>1799.2536815946394</c:v>
                </c:pt>
                <c:pt idx="13">
                  <c:v>1858.4385893050255</c:v>
                </c:pt>
                <c:pt idx="14">
                  <c:v>1922.0075642532181</c:v>
                </c:pt>
                <c:pt idx="15">
                  <c:v>1989.9606064392171</c:v>
                </c:pt>
                <c:pt idx="16">
                  <c:v>2062.2977158630229</c:v>
                </c:pt>
                <c:pt idx="17">
                  <c:v>2139.0188925246343</c:v>
                </c:pt>
                <c:pt idx="18">
                  <c:v>2220.1241364240523</c:v>
                </c:pt>
                <c:pt idx="19">
                  <c:v>2305.6134475612771</c:v>
                </c:pt>
                <c:pt idx="20">
                  <c:v>2395.4868259363079</c:v>
                </c:pt>
                <c:pt idx="21">
                  <c:v>2489.7442715491452</c:v>
                </c:pt>
                <c:pt idx="22">
                  <c:v>2588.3857843997889</c:v>
                </c:pt>
                <c:pt idx="23">
                  <c:v>2691.4113644882391</c:v>
                </c:pt>
                <c:pt idx="24">
                  <c:v>2798.8210118144953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FC-457F-8551-6D393C944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659800"/>
        <c:axId val="423659472"/>
      </c:scatterChart>
      <c:valAx>
        <c:axId val="423659800"/>
        <c:scaling>
          <c:orientation val="minMax"/>
          <c:max val="2.5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Carga de circuito en p.u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659472"/>
        <c:crosses val="autoZero"/>
        <c:crossBetween val="midCat"/>
        <c:majorUnit val="0.1"/>
      </c:valAx>
      <c:valAx>
        <c:axId val="423659472"/>
        <c:scaling>
          <c:orientation val="minMax"/>
          <c:max val="4162"/>
          <c:min val="7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Costo</a:t>
                </a:r>
                <a:r>
                  <a:rPr lang="es-CO" sz="1400" b="1" baseline="0"/>
                  <a:t> en millones ($ COP)</a:t>
                </a:r>
                <a:endParaRPr lang="es-CO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659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144199</xdr:colOff>
      <xdr:row>0</xdr:row>
      <xdr:rowOff>191559</xdr:rowOff>
    </xdr:from>
    <xdr:to>
      <xdr:col>25</xdr:col>
      <xdr:colOff>153723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B7560B-694C-4C77-8F16-C45B1DA2D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751418</xdr:colOff>
      <xdr:row>0</xdr:row>
      <xdr:rowOff>191559</xdr:rowOff>
    </xdr:from>
    <xdr:to>
      <xdr:col>24</xdr:col>
      <xdr:colOff>760942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6573BD-2815-4536-9F94-EC3D52773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72762</xdr:colOff>
      <xdr:row>0</xdr:row>
      <xdr:rowOff>132028</xdr:rowOff>
    </xdr:from>
    <xdr:to>
      <xdr:col>26</xdr:col>
      <xdr:colOff>82286</xdr:colOff>
      <xdr:row>31</xdr:row>
      <xdr:rowOff>148961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95E416-A607-4061-AE08-20502F6FE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751418</xdr:colOff>
      <xdr:row>0</xdr:row>
      <xdr:rowOff>191559</xdr:rowOff>
    </xdr:from>
    <xdr:to>
      <xdr:col>24</xdr:col>
      <xdr:colOff>760942</xdr:colOff>
      <xdr:row>32</xdr:row>
      <xdr:rowOff>17992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84AFEB-5482-4071-A8A8-AE5A9EFD5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C00000"/>
  </sheetPr>
  <dimension ref="A1:S263"/>
  <sheetViews>
    <sheetView topLeftCell="A10" workbookViewId="0">
      <selection activeCell="L15" sqref="L15"/>
    </sheetView>
  </sheetViews>
  <sheetFormatPr defaultColWidth="11.42578125" defaultRowHeight="15" x14ac:dyDescent="0.25"/>
  <cols>
    <col min="1" max="1" width="17.42578125" bestFit="1" customWidth="1"/>
    <col min="2" max="2" width="12" bestFit="1" customWidth="1"/>
    <col min="4" max="4" width="9" bestFit="1" customWidth="1"/>
    <col min="5" max="6" width="9" style="23" customWidth="1"/>
    <col min="7" max="7" width="7.5703125" style="23" bestFit="1" customWidth="1"/>
    <col min="8" max="8" width="10.5703125" style="23" bestFit="1" customWidth="1"/>
    <col min="9" max="9" width="13" style="23" customWidth="1"/>
    <col min="10" max="10" width="10.28515625" style="23" bestFit="1" customWidth="1"/>
    <col min="11" max="11" width="13.85546875" style="23" customWidth="1"/>
    <col min="12" max="13" width="16.7109375" bestFit="1" customWidth="1"/>
  </cols>
  <sheetData>
    <row r="1" spans="1:19" s="23" customFormat="1" x14ac:dyDescent="0.25"/>
    <row r="2" spans="1:19" s="23" customFormat="1" ht="28.5" x14ac:dyDescent="0.45">
      <c r="A2" s="6" t="s">
        <v>66</v>
      </c>
      <c r="B2" s="23" t="e">
        <f>(((1+#REF!)^2)*(1+#REF!))/(1+#REF!)</f>
        <v>#REF!</v>
      </c>
      <c r="D2" s="77" t="s">
        <v>88</v>
      </c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9" s="23" customFormat="1" x14ac:dyDescent="0.25">
      <c r="A3" s="6" t="s">
        <v>74</v>
      </c>
      <c r="B3" s="23" t="e">
        <f>(1-($B$2^#REF!))/(1-$B$2)</f>
        <v>#REF!</v>
      </c>
    </row>
    <row r="4" spans="1:19" s="23" customFormat="1" x14ac:dyDescent="0.25">
      <c r="A4" s="24" t="s">
        <v>65</v>
      </c>
      <c r="B4" s="24" t="e">
        <f>(0.7*(#REF!^2))+(0.3*#REF!)</f>
        <v>#REF!</v>
      </c>
    </row>
    <row r="5" spans="1:19" s="23" customFormat="1" x14ac:dyDescent="0.25">
      <c r="A5" s="6" t="s">
        <v>67</v>
      </c>
      <c r="B5" s="23" t="e">
        <f>(F8*#REF!)*(#REF!)*(#REF!*365*$B$4*#REF!+#REF!)*(($B$3)/(1+#REF!))</f>
        <v>#REF!</v>
      </c>
    </row>
    <row r="6" spans="1:19" ht="15.75" thickBot="1" x14ac:dyDescent="0.3"/>
    <row r="7" spans="1:19" ht="51.75" thickBot="1" x14ac:dyDescent="0.3">
      <c r="B7" s="8" t="s">
        <v>2</v>
      </c>
      <c r="C7" s="8" t="s">
        <v>4</v>
      </c>
      <c r="D7" s="8" t="s">
        <v>11</v>
      </c>
      <c r="E7" s="8" t="s">
        <v>42</v>
      </c>
      <c r="F7" s="8" t="s">
        <v>45</v>
      </c>
      <c r="G7" s="8" t="s">
        <v>75</v>
      </c>
      <c r="H7" s="8" t="s">
        <v>84</v>
      </c>
      <c r="I7" s="8" t="s">
        <v>85</v>
      </c>
      <c r="J7" s="8" t="s">
        <v>86</v>
      </c>
      <c r="K7" s="8" t="s">
        <v>87</v>
      </c>
      <c r="L7" s="3" t="s">
        <v>12</v>
      </c>
      <c r="M7" s="3" t="s">
        <v>76</v>
      </c>
    </row>
    <row r="8" spans="1:19" x14ac:dyDescent="0.25">
      <c r="B8" s="2">
        <v>1</v>
      </c>
      <c r="C8" s="2" t="e">
        <f>#REF!</f>
        <v>#REF!</v>
      </c>
      <c r="D8" s="12" t="e">
        <f>IF(B8=1,#REF!,IF(B8=2,#REF!,IF(B8=3,#REF!,IF(B8=4,#REF!,IF(B8=5,#REF!,IF(B8=6,#REF!,IF(B8=7,#REF!,IF(B8=8,#REF!, IF(B8=9,#REF!,IF(B8=10,#REF!,IF(B8=11,#REF!,”Error”)))))))))))</f>
        <v>#REF!</v>
      </c>
      <c r="E8" s="12" t="e">
        <f>IF(#REF!="Si",1,IF(#REF!="No",0))</f>
        <v>#REF!</v>
      </c>
      <c r="F8" s="12" t="e">
        <f>IF(#REF!="Trifásico",3,IF(#REF!="Monofásico trifilar",2,IF(#REF!="Monofásico bifilar",1)))</f>
        <v>#REF!</v>
      </c>
      <c r="G8" s="9" t="e">
        <f>IF(#REF!="Trifásico",(#REF!)/(SQRT(3)*#REF!),IF(#REF!="Monofásico trifilar",(#REF!)/(#REF!),IF(#REF!="Monofásico bifilar",(#REF!)/(#REF!))))*(1+#REF!)</f>
        <v>#REF!</v>
      </c>
      <c r="H8" s="9" t="e">
        <f>IF(F8=3,#REF!*3*((Costos!G8/#REF!)^2)*#REF!*Costos!D8*Costos!$B$4,IF(F8=2,#REF!*2*((Costos!G8/#REF!)^2)*#REF!*Costos!D8*Costos!$B$4,IF(F8=1,#REF!*((Costos!G8/#REF!)^2)*#REF!*Costos!D8*Costos!$B$4,"error")))</f>
        <v>#REF!</v>
      </c>
      <c r="I8" s="9" t="e">
        <f>#REF!*#REF!*#REF!*1000</f>
        <v>#REF!</v>
      </c>
      <c r="J8" s="72" t="e">
        <f>(H8)/I8</f>
        <v>#REF!</v>
      </c>
      <c r="K8" s="72" t="e">
        <f>IF(#REF!&gt;57.5,#REF!,IF(#REF!&gt;29.99999999,#REF!,IF(#REF!&gt;0.9999999999,#REF!,IF(#REF!&gt;0.000000001,#REF!,"Error"))))</f>
        <v>#REF!</v>
      </c>
      <c r="L8" s="13" t="e">
        <f>IF(K8&gt;J8,(1+E8*0.04)*#REF!*D8,0)</f>
        <v>#REF!</v>
      </c>
      <c r="M8" s="13" t="e">
        <f>IF(K8&gt;J8,G8^2*#REF!*D8*$B$5,0)</f>
        <v>#REF!</v>
      </c>
      <c r="N8" s="7"/>
    </row>
    <row r="9" spans="1:19" x14ac:dyDescent="0.25">
      <c r="B9" s="1">
        <v>1</v>
      </c>
      <c r="C9" s="2" t="e">
        <f>#REF!</f>
        <v>#REF!</v>
      </c>
      <c r="D9" s="12" t="e">
        <f>IF(B9=1,#REF!,IF(B9=2,#REF!,IF(B9=3,#REF!,IF(B9=4,#REF!,IF(B9=5,#REF!,IF(B9=6,#REF!,IF(B9=7,#REF!,IF(B9=8,#REF!, IF(B9=9,#REF!,IF(B9=10,#REF!,IF(B9=11,#REF!,”Error”)))))))))))</f>
        <v>#REF!</v>
      </c>
      <c r="E9" s="12" t="e">
        <f>IF(#REF!="Si",1,IF(#REF!="No",0))</f>
        <v>#REF!</v>
      </c>
      <c r="F9" s="12" t="e">
        <f>IF(#REF!="Trifásico",3,IF(#REF!="Monofásico trifilar",2,IF(#REF!="Monofásico bifilar",1)))</f>
        <v>#REF!</v>
      </c>
      <c r="G9" s="9" t="e">
        <f>IF(#REF!="Trifásico",(#REF!)/(SQRT(3)*#REF!),IF(#REF!="Monofásico trifilar",(#REF!)/(#REF!),IF(#REF!="Monofásico bifilar",(#REF!)/(#REF!))))*(1+#REF!)</f>
        <v>#REF!</v>
      </c>
      <c r="H9" s="9" t="e">
        <f>IF(F9=3,#REF!*3*((Costos!G9/#REF!)^2)*#REF!*Costos!D9*Costos!$B$4,IF(F9=2,#REF!*2*((Costos!G9/#REF!)^2)*#REF!*Costos!D9*Costos!$B$4,IF(F9=1,#REF!*((Costos!G9/#REF!)^2)*#REF!*Costos!D9*Costos!$B$4,"error")))</f>
        <v>#REF!</v>
      </c>
      <c r="I9" s="9" t="e">
        <f>#REF!*#REF!*#REF!*1000</f>
        <v>#REF!</v>
      </c>
      <c r="J9" s="72" t="e">
        <f t="shared" ref="J9:J72" si="0">(H9)/I9</f>
        <v>#REF!</v>
      </c>
      <c r="K9" s="72" t="e">
        <f>IF(#REF!&gt;57.5,#REF!,IF(#REF!&gt;29.99999999,#REF!,IF(#REF!&gt;0.9999999999,#REF!,IF(#REF!&gt;0.000000001,#REF!,"Error"))))</f>
        <v>#REF!</v>
      </c>
      <c r="L9" s="13" t="e">
        <f>IF(K9&gt;J9,(1+E9*0.04)*#REF!*D9,0)</f>
        <v>#REF!</v>
      </c>
      <c r="M9" s="13" t="e">
        <f>IF(K9&gt;J9,G9^2*#REF!*D9*$B$5,0)</f>
        <v>#REF!</v>
      </c>
    </row>
    <row r="10" spans="1:19" x14ac:dyDescent="0.25">
      <c r="B10" s="1">
        <v>1</v>
      </c>
      <c r="C10" s="2" t="e">
        <f>#REF!</f>
        <v>#REF!</v>
      </c>
      <c r="D10" s="12" t="e">
        <f>IF(B10=1,#REF!,IF(B10=2,#REF!,IF(B10=3,#REF!,IF(B10=4,#REF!,IF(B10=5,#REF!,IF(B10=6,#REF!,IF(B10=7,#REF!,IF(B10=8,#REF!, IF(B10=9,#REF!,IF(B10=10,#REF!,IF(B10=11,#REF!,”Error”)))))))))))</f>
        <v>#REF!</v>
      </c>
      <c r="E10" s="12" t="e">
        <f>IF(#REF!="Si",1,IF(#REF!="No",0))</f>
        <v>#REF!</v>
      </c>
      <c r="F10" s="12" t="e">
        <f>IF(#REF!="Trifásico",3,IF(#REF!="Monofásico trifilar",2,IF(#REF!="Monofásico bifilar",1)))</f>
        <v>#REF!</v>
      </c>
      <c r="G10" s="9" t="e">
        <f>IF(#REF!="Trifásico",(#REF!)/(SQRT(3)*#REF!),IF(#REF!="Monofásico trifilar",(#REF!)/(#REF!),IF(#REF!="Monofásico bifilar",(#REF!)/(#REF!))))*(1+#REF!)</f>
        <v>#REF!</v>
      </c>
      <c r="H10" s="9" t="e">
        <f>IF(F10=3,#REF!*3*((Costos!G10/#REF!)^2)*#REF!*Costos!D10*Costos!$B$4,IF(F10=2,#REF!*2*((Costos!G10/#REF!)^2)*#REF!*Costos!D10*Costos!$B$4,IF(F10=1,#REF!*((Costos!G10/#REF!)^2)*#REF!*Costos!D10*Costos!$B$4,"error")))</f>
        <v>#REF!</v>
      </c>
      <c r="I10" s="9" t="e">
        <f>#REF!*#REF!*#REF!*1000</f>
        <v>#REF!</v>
      </c>
      <c r="J10" s="72" t="e">
        <f t="shared" si="0"/>
        <v>#REF!</v>
      </c>
      <c r="K10" s="72" t="e">
        <f>IF(#REF!&gt;57.5,#REF!,IF(#REF!&gt;29.99999999,#REF!,IF(#REF!&gt;0.9999999999,#REF!,IF(#REF!&gt;0.000000001,#REF!,"Error"))))</f>
        <v>#REF!</v>
      </c>
      <c r="L10" s="13" t="e">
        <f>IF(K10&gt;J10,(1+E10*0.04)*#REF!*D10,0)</f>
        <v>#REF!</v>
      </c>
      <c r="M10" s="13" t="e">
        <f>IF(K10&gt;J10,G10^2*#REF!*D10*$B$5,0)</f>
        <v>#REF!</v>
      </c>
    </row>
    <row r="11" spans="1:19" x14ac:dyDescent="0.25">
      <c r="B11" s="1">
        <v>1</v>
      </c>
      <c r="C11" s="2" t="e">
        <f>#REF!</f>
        <v>#REF!</v>
      </c>
      <c r="D11" s="12" t="e">
        <f>IF(B11=1,#REF!,IF(B11=2,#REF!,IF(B11=3,#REF!,IF(B11=4,#REF!,IF(B11=5,#REF!,IF(B11=6,#REF!,IF(B11=7,#REF!,IF(B11=8,#REF!, IF(B11=9,#REF!,IF(B11=10,#REF!,IF(B11=11,#REF!,”Error”)))))))))))</f>
        <v>#REF!</v>
      </c>
      <c r="E11" s="12" t="e">
        <f>IF(#REF!="Si",1,IF(#REF!="No",0))</f>
        <v>#REF!</v>
      </c>
      <c r="F11" s="12" t="e">
        <f>IF(#REF!="Trifásico",3,IF(#REF!="Monofásico trifilar",2,IF(#REF!="Monofásico bifilar",1)))</f>
        <v>#REF!</v>
      </c>
      <c r="G11" s="9" t="e">
        <f>IF(#REF!="Trifásico",(#REF!)/(SQRT(3)*#REF!),IF(#REF!="Monofásico trifilar",(#REF!)/(#REF!),IF(#REF!="Monofásico bifilar",(#REF!)/(#REF!))))*(1+#REF!)</f>
        <v>#REF!</v>
      </c>
      <c r="H11" s="9" t="e">
        <f>IF(F11=3,#REF!*3*((Costos!G11/#REF!)^2)*#REF!*Costos!D11*Costos!$B$4,IF(F11=2,#REF!*2*((Costos!G11/#REF!)^2)*#REF!*Costos!D11*Costos!$B$4,IF(F11=1,#REF!*((Costos!G11/#REF!)^2)*#REF!*Costos!D11*Costos!$B$4,"error")))</f>
        <v>#REF!</v>
      </c>
      <c r="I11" s="9" t="e">
        <f>#REF!*#REF!*#REF!*1000</f>
        <v>#REF!</v>
      </c>
      <c r="J11" s="72" t="e">
        <f t="shared" si="0"/>
        <v>#REF!</v>
      </c>
      <c r="K11" s="72" t="e">
        <f>IF(#REF!&gt;57.5,#REF!,IF(#REF!&gt;29.99999999,#REF!,IF(#REF!&gt;0.9999999999,#REF!,IF(#REF!&gt;0.000000001,#REF!,"Error"))))</f>
        <v>#REF!</v>
      </c>
      <c r="L11" s="13" t="e">
        <f>IF(K11&gt;J11,(1+E11*0.04)*#REF!*D11,0)</f>
        <v>#REF!</v>
      </c>
      <c r="M11" s="13" t="e">
        <f>IF(K11&gt;J11,G11^2*#REF!*D11*$B$5,0)</f>
        <v>#REF!</v>
      </c>
    </row>
    <row r="12" spans="1:19" x14ac:dyDescent="0.25">
      <c r="B12" s="1">
        <v>1</v>
      </c>
      <c r="C12" s="2" t="e">
        <f>#REF!</f>
        <v>#REF!</v>
      </c>
      <c r="D12" s="12" t="e">
        <f>IF(B12=1,#REF!,IF(B12=2,#REF!,IF(B12=3,#REF!,IF(B12=4,#REF!,IF(B12=5,#REF!,IF(B12=6,#REF!,IF(B12=7,#REF!,IF(B12=8,#REF!, IF(B12=9,#REF!,IF(B12=10,#REF!,IF(B12=11,#REF!,”Error”)))))))))))</f>
        <v>#REF!</v>
      </c>
      <c r="E12" s="12" t="e">
        <f>IF(#REF!="Si",1,IF(#REF!="No",0))</f>
        <v>#REF!</v>
      </c>
      <c r="F12" s="12" t="e">
        <f>IF(#REF!="Trifásico",3,IF(#REF!="Monofásico trifilar",2,IF(#REF!="Monofásico bifilar",1)))</f>
        <v>#REF!</v>
      </c>
      <c r="G12" s="9" t="e">
        <f>IF(#REF!="Trifásico",(#REF!)/(SQRT(3)*#REF!),IF(#REF!="Monofásico trifilar",(#REF!)/(#REF!),IF(#REF!="Monofásico bifilar",(#REF!)/(#REF!))))*(1+#REF!)</f>
        <v>#REF!</v>
      </c>
      <c r="H12" s="9" t="e">
        <f>IF(F12=3,#REF!*3*((Costos!G12/#REF!)^2)*#REF!*Costos!D12*Costos!$B$4,IF(F12=2,#REF!*2*((Costos!G12/#REF!)^2)*#REF!*Costos!D12*Costos!$B$4,IF(F12=1,#REF!*((Costos!G12/#REF!)^2)*#REF!*Costos!D12*Costos!$B$4,"error")))</f>
        <v>#REF!</v>
      </c>
      <c r="I12" s="9" t="e">
        <f>#REF!*#REF!*#REF!*1000</f>
        <v>#REF!</v>
      </c>
      <c r="J12" s="72" t="e">
        <f t="shared" si="0"/>
        <v>#REF!</v>
      </c>
      <c r="K12" s="72" t="e">
        <f>IF(#REF!&gt;57.5,#REF!,IF(#REF!&gt;29.99999999,#REF!,IF(#REF!&gt;0.9999999999,#REF!,IF(#REF!&gt;0.000000001,#REF!,"Error"))))</f>
        <v>#REF!</v>
      </c>
      <c r="L12" s="13" t="e">
        <f>IF(K12&gt;J12,(1+E12*0.04)*#REF!*D12,0)</f>
        <v>#REF!</v>
      </c>
      <c r="M12" s="13" t="e">
        <f>IF(K12&gt;J12,G12^2*#REF!*D12*$B$5,0)</f>
        <v>#REF!</v>
      </c>
    </row>
    <row r="13" spans="1:19" x14ac:dyDescent="0.25">
      <c r="B13" s="1">
        <v>1</v>
      </c>
      <c r="C13" s="2" t="e">
        <f>#REF!</f>
        <v>#REF!</v>
      </c>
      <c r="D13" s="12" t="e">
        <f>IF(B13=1,#REF!,IF(B13=2,#REF!,IF(B13=3,#REF!,IF(B13=4,#REF!,IF(B13=5,#REF!,IF(B13=6,#REF!,IF(B13=7,#REF!,IF(B13=8,#REF!, IF(B13=9,#REF!,IF(B13=10,#REF!,IF(B13=11,#REF!,”Error”)))))))))))</f>
        <v>#REF!</v>
      </c>
      <c r="E13" s="12" t="e">
        <f>IF(#REF!="Si",1,IF(#REF!="No",0))</f>
        <v>#REF!</v>
      </c>
      <c r="F13" s="12" t="e">
        <f>IF(#REF!="Trifásico",3,IF(#REF!="Monofásico trifilar",2,IF(#REF!="Monofásico bifilar",1)))</f>
        <v>#REF!</v>
      </c>
      <c r="G13" s="9" t="e">
        <f>IF(#REF!="Trifásico",(#REF!)/(SQRT(3)*#REF!),IF(#REF!="Monofásico trifilar",(#REF!)/(#REF!),IF(#REF!="Monofásico bifilar",(#REF!)/(#REF!))))*(1+#REF!)</f>
        <v>#REF!</v>
      </c>
      <c r="H13" s="9" t="e">
        <f>IF(F13=3,#REF!*3*((Costos!G13/#REF!)^2)*#REF!*Costos!D13*Costos!$B$4,IF(F13=2,#REF!*2*((Costos!G13/#REF!)^2)*#REF!*Costos!D13*Costos!$B$4,IF(F13=1,#REF!*((Costos!G13/#REF!)^2)*#REF!*Costos!D13*Costos!$B$4,"error")))</f>
        <v>#REF!</v>
      </c>
      <c r="I13" s="9" t="e">
        <f>#REF!*#REF!*#REF!*1000</f>
        <v>#REF!</v>
      </c>
      <c r="J13" s="72" t="e">
        <f t="shared" si="0"/>
        <v>#REF!</v>
      </c>
      <c r="K13" s="72" t="e">
        <f>IF(#REF!&gt;57.5,#REF!,IF(#REF!&gt;29.99999999,#REF!,IF(#REF!&gt;0.9999999999,#REF!,IF(#REF!&gt;0.000000001,#REF!,"Error"))))</f>
        <v>#REF!</v>
      </c>
      <c r="L13" s="13" t="e">
        <f>IF(K13&gt;J13,(1+E13*0.04)*#REF!*D13,0)</f>
        <v>#REF!</v>
      </c>
      <c r="M13" s="13" t="e">
        <f>IF(K13&gt;J13,G13^2*#REF!*D13*$B$5,0)</f>
        <v>#REF!</v>
      </c>
    </row>
    <row r="14" spans="1:19" x14ac:dyDescent="0.25">
      <c r="B14" s="1">
        <v>1</v>
      </c>
      <c r="C14" s="2" t="e">
        <f>#REF!</f>
        <v>#REF!</v>
      </c>
      <c r="D14" s="12" t="e">
        <f>IF(B14=1,#REF!,IF(B14=2,#REF!,IF(B14=3,#REF!,IF(B14=4,#REF!,IF(B14=5,#REF!,IF(B14=6,#REF!,IF(B14=7,#REF!,IF(B14=8,#REF!, IF(B14=9,#REF!,IF(B14=10,#REF!,IF(B14=11,#REF!,”Error”)))))))))))</f>
        <v>#REF!</v>
      </c>
      <c r="E14" s="12" t="e">
        <f>IF(#REF!="Si",1,IF(#REF!="No",0))</f>
        <v>#REF!</v>
      </c>
      <c r="F14" s="12" t="e">
        <f>IF(#REF!="Trifásico",3,IF(#REF!="Monofásico trifilar",2,IF(#REF!="Monofásico bifilar",1)))</f>
        <v>#REF!</v>
      </c>
      <c r="G14" s="9" t="e">
        <f>IF(#REF!="Trifásico",(#REF!)/(SQRT(3)*#REF!),IF(#REF!="Monofásico trifilar",(#REF!)/(#REF!),IF(#REF!="Monofásico bifilar",(#REF!)/(#REF!))))*(1+#REF!)</f>
        <v>#REF!</v>
      </c>
      <c r="H14" s="9" t="e">
        <f>IF(F14=3,#REF!*3*((Costos!G14/#REF!)^2)*#REF!*Costos!D14*Costos!$B$4,IF(F14=2,#REF!*2*((Costos!G14/#REF!)^2)*#REF!*Costos!D14*Costos!$B$4,IF(F14=1,#REF!*((Costos!G14/#REF!)^2)*#REF!*Costos!D14*Costos!$B$4,"error")))</f>
        <v>#REF!</v>
      </c>
      <c r="I14" s="9" t="e">
        <f>#REF!*#REF!*#REF!*1000</f>
        <v>#REF!</v>
      </c>
      <c r="J14" s="72" t="e">
        <f t="shared" si="0"/>
        <v>#REF!</v>
      </c>
      <c r="K14" s="72" t="e">
        <f>IF(#REF!&gt;57.5,#REF!,IF(#REF!&gt;29.99999999,#REF!,IF(#REF!&gt;0.9999999999,#REF!,IF(#REF!&gt;0.000000001,#REF!,"Error"))))</f>
        <v>#REF!</v>
      </c>
      <c r="L14" s="13" t="e">
        <f>IF(K14&gt;J14,(1+E14*0.04)*#REF!*D14,0)</f>
        <v>#REF!</v>
      </c>
      <c r="M14" s="13" t="e">
        <f>IF(K14&gt;J14,G14^2*#REF!*D14*$B$5,0)</f>
        <v>#REF!</v>
      </c>
    </row>
    <row r="15" spans="1:19" x14ac:dyDescent="0.25">
      <c r="B15" s="1">
        <v>1</v>
      </c>
      <c r="C15" s="2" t="e">
        <f>#REF!</f>
        <v>#REF!</v>
      </c>
      <c r="D15" s="12" t="e">
        <f>IF(B15=1,#REF!,IF(B15=2,#REF!,IF(B15=3,#REF!,IF(B15=4,#REF!,IF(B15=5,#REF!,IF(B15=6,#REF!,IF(B15=7,#REF!,IF(B15=8,#REF!, IF(B15=9,#REF!,IF(B15=10,#REF!,IF(B15=11,#REF!,”Error”)))))))))))</f>
        <v>#REF!</v>
      </c>
      <c r="E15" s="12" t="e">
        <f>IF(#REF!="Si",1,IF(#REF!="No",0))</f>
        <v>#REF!</v>
      </c>
      <c r="F15" s="12" t="e">
        <f>IF(#REF!="Trifásico",3,IF(#REF!="Monofásico trifilar",2,IF(#REF!="Monofásico bifilar",1)))</f>
        <v>#REF!</v>
      </c>
      <c r="G15" s="9" t="e">
        <f>IF(#REF!="Trifásico",(#REF!)/(SQRT(3)*#REF!),IF(#REF!="Monofásico trifilar",(#REF!)/(#REF!),IF(#REF!="Monofásico bifilar",(#REF!)/(#REF!))))*(1+#REF!)</f>
        <v>#REF!</v>
      </c>
      <c r="H15" s="9" t="e">
        <f>IF(F15=3,#REF!*3*((Costos!G15/#REF!)^2)*#REF!*Costos!D15*Costos!$B$4,IF(F15=2,#REF!*2*((Costos!G15/#REF!)^2)*#REF!*Costos!D15*Costos!$B$4,IF(F15=1,#REF!*((Costos!G15/#REF!)^2)*#REF!*Costos!D15*Costos!$B$4,"error")))</f>
        <v>#REF!</v>
      </c>
      <c r="I15" s="9" t="e">
        <f>#REF!*#REF!*#REF!*1000</f>
        <v>#REF!</v>
      </c>
      <c r="J15" s="72" t="e">
        <f t="shared" si="0"/>
        <v>#REF!</v>
      </c>
      <c r="K15" s="72" t="e">
        <f>IF(#REF!&gt;57.5,#REF!,IF(#REF!&gt;29.99999999,#REF!,IF(#REF!&gt;0.9999999999,#REF!,IF(#REF!&gt;0.000000001,#REF!,"Error"))))</f>
        <v>#REF!</v>
      </c>
      <c r="L15" s="13" t="e">
        <f>IF(K15&gt;J15,(1+E15*0.04)*#REF!*D15,0)</f>
        <v>#REF!</v>
      </c>
      <c r="M15" s="13" t="e">
        <f>IF(K15&gt;J15,G15^2*#REF!*D15*$B$5,0)</f>
        <v>#REF!</v>
      </c>
    </row>
    <row r="16" spans="1:19" x14ac:dyDescent="0.25">
      <c r="B16" s="1">
        <v>1</v>
      </c>
      <c r="C16" s="2" t="e">
        <f>#REF!</f>
        <v>#REF!</v>
      </c>
      <c r="D16" s="12" t="e">
        <f>IF(B16=1,#REF!,IF(B16=2,#REF!,IF(B16=3,#REF!,IF(B16=4,#REF!,IF(B16=5,#REF!,IF(B16=6,#REF!,IF(B16=7,#REF!,IF(B16=8,#REF!, IF(B16=9,#REF!,IF(B16=10,#REF!,IF(B16=11,#REF!,”Error”)))))))))))</f>
        <v>#REF!</v>
      </c>
      <c r="E16" s="12" t="e">
        <f>IF(#REF!="Si",1,IF(#REF!="No",0))</f>
        <v>#REF!</v>
      </c>
      <c r="F16" s="12" t="e">
        <f>IF(#REF!="Trifásico",3,IF(#REF!="Monofásico trifilar",2,IF(#REF!="Monofásico bifilar",1)))</f>
        <v>#REF!</v>
      </c>
      <c r="G16" s="9" t="e">
        <f>IF(#REF!="Trifásico",(#REF!)/(SQRT(3)*#REF!),IF(#REF!="Monofásico trifilar",(#REF!)/(#REF!),IF(#REF!="Monofásico bifilar",(#REF!)/(#REF!))))*(1+#REF!)</f>
        <v>#REF!</v>
      </c>
      <c r="H16" s="9" t="e">
        <f>IF(F16=3,#REF!*3*((Costos!G16/#REF!)^2)*#REF!*Costos!D16*Costos!$B$4,IF(F16=2,#REF!*2*((Costos!G16/#REF!)^2)*#REF!*Costos!D16*Costos!$B$4,IF(F16=1,#REF!*((Costos!G16/#REF!)^2)*#REF!*Costos!D16*Costos!$B$4,"error")))</f>
        <v>#REF!</v>
      </c>
      <c r="I16" s="9" t="e">
        <f>#REF!*#REF!*#REF!*1000</f>
        <v>#REF!</v>
      </c>
      <c r="J16" s="72" t="e">
        <f t="shared" si="0"/>
        <v>#REF!</v>
      </c>
      <c r="K16" s="72" t="e">
        <f>IF(#REF!&gt;57.5,#REF!,IF(#REF!&gt;29.99999999,#REF!,IF(#REF!&gt;0.9999999999,#REF!,IF(#REF!&gt;0.000000001,#REF!,"Error"))))</f>
        <v>#REF!</v>
      </c>
      <c r="L16" s="13" t="e">
        <f>IF(K16&gt;J16,(1+E16*0.04)*#REF!*D16,0)</f>
        <v>#REF!</v>
      </c>
      <c r="M16" s="13" t="e">
        <f>IF(K16&gt;J16,G16^2*#REF!*D16*$B$5,0)</f>
        <v>#REF!</v>
      </c>
      <c r="S16" t="s">
        <v>83</v>
      </c>
    </row>
    <row r="17" spans="2:13" x14ac:dyDescent="0.25">
      <c r="B17" s="1">
        <v>1</v>
      </c>
      <c r="C17" s="2" t="e">
        <f>#REF!</f>
        <v>#REF!</v>
      </c>
      <c r="D17" s="12" t="e">
        <f>IF(B17=1,#REF!,IF(B17=2,#REF!,IF(B17=3,#REF!,IF(B17=4,#REF!,IF(B17=5,#REF!,IF(B17=6,#REF!,IF(B17=7,#REF!,IF(B17=8,#REF!, IF(B17=9,#REF!,IF(B17=10,#REF!,IF(B17=11,#REF!,”Error”)))))))))))</f>
        <v>#REF!</v>
      </c>
      <c r="E17" s="12" t="e">
        <f>IF(#REF!="Si",1,IF(#REF!="No",0))</f>
        <v>#REF!</v>
      </c>
      <c r="F17" s="12" t="e">
        <f>IF(#REF!="Trifásico",3,IF(#REF!="Monofásico trifilar",2,IF(#REF!="Monofásico bifilar",1)))</f>
        <v>#REF!</v>
      </c>
      <c r="G17" s="9" t="e">
        <f>IF(#REF!="Trifásico",(#REF!)/(SQRT(3)*#REF!),IF(#REF!="Monofásico trifilar",(#REF!)/(#REF!),IF(#REF!="Monofásico bifilar",(#REF!)/(#REF!))))*(1+#REF!)</f>
        <v>#REF!</v>
      </c>
      <c r="H17" s="9" t="e">
        <f>IF(F17=3,#REF!*3*((Costos!G17/#REF!)^2)*#REF!*Costos!D17*Costos!$B$4,IF(F17=2,#REF!*2*((Costos!G17/#REF!)^2)*#REF!*Costos!D17*Costos!$B$4,IF(F17=1,#REF!*((Costos!G17/#REF!)^2)*#REF!*Costos!D17*Costos!$B$4,"error")))</f>
        <v>#REF!</v>
      </c>
      <c r="I17" s="9" t="e">
        <f>#REF!*#REF!*#REF!*1000</f>
        <v>#REF!</v>
      </c>
      <c r="J17" s="72" t="e">
        <f t="shared" si="0"/>
        <v>#REF!</v>
      </c>
      <c r="K17" s="72" t="e">
        <f>IF(#REF!&gt;57.5,#REF!,IF(#REF!&gt;29.99999999,#REF!,IF(#REF!&gt;0.9999999999,#REF!,IF(#REF!&gt;0.000000001,#REF!,"Error"))))</f>
        <v>#REF!</v>
      </c>
      <c r="L17" s="13" t="e">
        <f>IF(K17&gt;J17,(1+E17*0.04)*#REF!*D17,0)</f>
        <v>#REF!</v>
      </c>
      <c r="M17" s="13" t="e">
        <f>IF(K17&gt;J17,G17^2*#REF!*D17*$B$5,0)</f>
        <v>#REF!</v>
      </c>
    </row>
    <row r="18" spans="2:13" x14ac:dyDescent="0.25">
      <c r="B18" s="1">
        <v>1</v>
      </c>
      <c r="C18" s="2" t="e">
        <f>#REF!</f>
        <v>#REF!</v>
      </c>
      <c r="D18" s="12" t="e">
        <f>IF(B18=1,#REF!,IF(B18=2,#REF!,IF(B18=3,#REF!,IF(B18=4,#REF!,IF(B18=5,#REF!,IF(B18=6,#REF!,IF(B18=7,#REF!,IF(B18=8,#REF!, IF(B18=9,#REF!,IF(B18=10,#REF!,IF(B18=11,#REF!,”Error”)))))))))))</f>
        <v>#REF!</v>
      </c>
      <c r="E18" s="12" t="e">
        <f>IF(#REF!="Si",1,IF(#REF!="No",0))</f>
        <v>#REF!</v>
      </c>
      <c r="F18" s="12" t="e">
        <f>IF(#REF!="Trifásico",3,IF(#REF!="Monofásico trifilar",2,IF(#REF!="Monofásico bifilar",1)))</f>
        <v>#REF!</v>
      </c>
      <c r="G18" s="9" t="e">
        <f>IF(#REF!="Trifásico",(#REF!)/(SQRT(3)*#REF!),IF(#REF!="Monofásico trifilar",(#REF!)/(#REF!),IF(#REF!="Monofásico bifilar",(#REF!)/(#REF!))))*(1+#REF!)</f>
        <v>#REF!</v>
      </c>
      <c r="H18" s="9" t="e">
        <f>IF(F18=3,#REF!*3*((Costos!G18/#REF!)^2)*#REF!*Costos!D18*Costos!$B$4,IF(F18=2,#REF!*2*((Costos!G18/#REF!)^2)*#REF!*Costos!D18*Costos!$B$4,IF(F18=1,#REF!*((Costos!G18/#REF!)^2)*#REF!*Costos!D18*Costos!$B$4,"error")))</f>
        <v>#REF!</v>
      </c>
      <c r="I18" s="9" t="e">
        <f>#REF!*#REF!*#REF!*1000</f>
        <v>#REF!</v>
      </c>
      <c r="J18" s="72" t="e">
        <f t="shared" si="0"/>
        <v>#REF!</v>
      </c>
      <c r="K18" s="72" t="e">
        <f>IF(#REF!&gt;57.5,#REF!,IF(#REF!&gt;29.99999999,#REF!,IF(#REF!&gt;0.9999999999,#REF!,IF(#REF!&gt;0.000000001,#REF!,"Error"))))</f>
        <v>#REF!</v>
      </c>
      <c r="L18" s="13" t="e">
        <f>IF(K18&gt;J18,(1+E18*0.04)*#REF!*D18,0)</f>
        <v>#REF!</v>
      </c>
      <c r="M18" s="13" t="e">
        <f>IF(K18&gt;J18,G18^2*#REF!*D18*$B$5,0)</f>
        <v>#REF!</v>
      </c>
    </row>
    <row r="19" spans="2:13" x14ac:dyDescent="0.25">
      <c r="B19" s="1">
        <v>1</v>
      </c>
      <c r="C19" s="2" t="e">
        <f>#REF!</f>
        <v>#REF!</v>
      </c>
      <c r="D19" s="12" t="e">
        <f>IF(B19=1,#REF!,IF(B19=2,#REF!,IF(B19=3,#REF!,IF(B19=4,#REF!,IF(B19=5,#REF!,IF(B19=6,#REF!,IF(B19=7,#REF!,IF(B19=8,#REF!, IF(B19=9,#REF!,IF(B19=10,#REF!,IF(B19=11,#REF!,”Error”)))))))))))</f>
        <v>#REF!</v>
      </c>
      <c r="E19" s="12" t="e">
        <f>IF(#REF!="Si",1,IF(#REF!="No",0))</f>
        <v>#REF!</v>
      </c>
      <c r="F19" s="12" t="e">
        <f>IF(#REF!="Trifásico",3,IF(#REF!="Monofásico trifilar",2,IF(#REF!="Monofásico bifilar",1)))</f>
        <v>#REF!</v>
      </c>
      <c r="G19" s="9" t="e">
        <f>IF(#REF!="Trifásico",(#REF!)/(SQRT(3)*#REF!),IF(#REF!="Monofásico trifilar",(#REF!)/(#REF!),IF(#REF!="Monofásico bifilar",(#REF!)/(#REF!))))*(1+#REF!)</f>
        <v>#REF!</v>
      </c>
      <c r="H19" s="9" t="e">
        <f>IF(F19=3,#REF!*3*((Costos!G19/#REF!)^2)*#REF!*Costos!D19*Costos!$B$4,IF(F19=2,#REF!*2*((Costos!G19/#REF!)^2)*#REF!*Costos!D19*Costos!$B$4,IF(F19=1,#REF!*((Costos!G19/#REF!)^2)*#REF!*Costos!D19*Costos!$B$4,"error")))</f>
        <v>#REF!</v>
      </c>
      <c r="I19" s="9" t="e">
        <f>#REF!*#REF!*#REF!*1000</f>
        <v>#REF!</v>
      </c>
      <c r="J19" s="72" t="e">
        <f t="shared" si="0"/>
        <v>#REF!</v>
      </c>
      <c r="K19" s="72" t="e">
        <f>IF(#REF!&gt;57.5,#REF!,IF(#REF!&gt;29.99999999,#REF!,IF(#REF!&gt;0.9999999999,#REF!,IF(#REF!&gt;0.000000001,#REF!,"Error"))))</f>
        <v>#REF!</v>
      </c>
      <c r="L19" s="13" t="e">
        <f>IF(K19&gt;J19,(1+E19*0.04)*#REF!*D19,0)</f>
        <v>#REF!</v>
      </c>
      <c r="M19" s="13" t="e">
        <f>IF(K19&gt;J19,G19^2*#REF!*D19*$B$5,0)</f>
        <v>#REF!</v>
      </c>
    </row>
    <row r="20" spans="2:13" x14ac:dyDescent="0.25">
      <c r="B20" s="1">
        <v>1</v>
      </c>
      <c r="C20" s="2" t="e">
        <f>#REF!</f>
        <v>#REF!</v>
      </c>
      <c r="D20" s="12" t="e">
        <f>IF(B20=1,#REF!,IF(B20=2,#REF!,IF(B20=3,#REF!,IF(B20=4,#REF!,IF(B20=5,#REF!,IF(B20=6,#REF!,IF(B20=7,#REF!,IF(B20=8,#REF!, IF(B20=9,#REF!,IF(B20=10,#REF!,IF(B20=11,#REF!,”Error”)))))))))))</f>
        <v>#REF!</v>
      </c>
      <c r="E20" s="12" t="e">
        <f>IF(#REF!="Si",1,IF(#REF!="No",0))</f>
        <v>#REF!</v>
      </c>
      <c r="F20" s="12" t="e">
        <f>IF(#REF!="Trifásico",3,IF(#REF!="Monofásico trifilar",2,IF(#REF!="Monofásico bifilar",1)))</f>
        <v>#REF!</v>
      </c>
      <c r="G20" s="9" t="e">
        <f>IF(#REF!="Trifásico",(#REF!)/(SQRT(3)*#REF!),IF(#REF!="Monofásico trifilar",(#REF!)/(#REF!),IF(#REF!="Monofásico bifilar",(#REF!)/(#REF!))))*(1+#REF!)</f>
        <v>#REF!</v>
      </c>
      <c r="H20" s="9" t="e">
        <f>IF(F20=3,#REF!*3*((Costos!G20/#REF!)^2)*#REF!*Costos!D20*Costos!$B$4,IF(F20=2,#REF!*2*((Costos!G20/#REF!)^2)*#REF!*Costos!D20*Costos!$B$4,IF(F20=1,#REF!*((Costos!G20/#REF!)^2)*#REF!*Costos!D20*Costos!$B$4,"error")))</f>
        <v>#REF!</v>
      </c>
      <c r="I20" s="9" t="e">
        <f>#REF!*#REF!*#REF!*1000</f>
        <v>#REF!</v>
      </c>
      <c r="J20" s="72" t="e">
        <f t="shared" si="0"/>
        <v>#REF!</v>
      </c>
      <c r="K20" s="72" t="e">
        <f>IF(#REF!&gt;57.5,#REF!,IF(#REF!&gt;29.99999999,#REF!,IF(#REF!&gt;0.9999999999,#REF!,IF(#REF!&gt;0.000000001,#REF!,"Error"))))</f>
        <v>#REF!</v>
      </c>
      <c r="L20" s="13" t="e">
        <f>IF(K20&gt;J20,(1+E20*0.04)*#REF!*D20,0)</f>
        <v>#REF!</v>
      </c>
      <c r="M20" s="13" t="e">
        <f>IF(K20&gt;J20,G20^2*#REF!*D20*$B$5,0)</f>
        <v>#REF!</v>
      </c>
    </row>
    <row r="21" spans="2:13" x14ac:dyDescent="0.25">
      <c r="B21" s="1">
        <v>1</v>
      </c>
      <c r="C21" s="2" t="e">
        <f>#REF!</f>
        <v>#REF!</v>
      </c>
      <c r="D21" s="12" t="e">
        <f>IF(B21=1,#REF!,IF(B21=2,#REF!,IF(B21=3,#REF!,IF(B21=4,#REF!,IF(B21=5,#REF!,IF(B21=6,#REF!,IF(B21=7,#REF!,IF(B21=8,#REF!, IF(B21=9,#REF!,IF(B21=10,#REF!,IF(B21=11,#REF!,”Error”)))))))))))</f>
        <v>#REF!</v>
      </c>
      <c r="E21" s="12" t="e">
        <f>IF(#REF!="Si",1,IF(#REF!="No",0))</f>
        <v>#REF!</v>
      </c>
      <c r="F21" s="12" t="e">
        <f>IF(#REF!="Trifásico",3,IF(#REF!="Monofásico trifilar",2,IF(#REF!="Monofásico bifilar",1)))</f>
        <v>#REF!</v>
      </c>
      <c r="G21" s="9" t="e">
        <f>IF(#REF!="Trifásico",(#REF!)/(SQRT(3)*#REF!),IF(#REF!="Monofásico trifilar",(#REF!)/(#REF!),IF(#REF!="Monofásico bifilar",(#REF!)/(#REF!))))*(1+#REF!)</f>
        <v>#REF!</v>
      </c>
      <c r="H21" s="9" t="e">
        <f>IF(F21=3,#REF!*3*((Costos!G21/#REF!)^2)*#REF!*Costos!D21*Costos!$B$4,IF(F21=2,#REF!*2*((Costos!G21/#REF!)^2)*#REF!*Costos!D21*Costos!$B$4,IF(F21=1,#REF!*((Costos!G21/#REF!)^2)*#REF!*Costos!D21*Costos!$B$4,"error")))</f>
        <v>#REF!</v>
      </c>
      <c r="I21" s="9" t="e">
        <f>#REF!*#REF!*#REF!*1000</f>
        <v>#REF!</v>
      </c>
      <c r="J21" s="72" t="e">
        <f t="shared" si="0"/>
        <v>#REF!</v>
      </c>
      <c r="K21" s="72" t="e">
        <f>IF(#REF!&gt;57.5,#REF!,IF(#REF!&gt;29.99999999,#REF!,IF(#REF!&gt;0.9999999999,#REF!,IF(#REF!&gt;0.000000001,#REF!,"Error"))))</f>
        <v>#REF!</v>
      </c>
      <c r="L21" s="13" t="e">
        <f>IF(K21&gt;J21,(1+E21*0.04)*#REF!*D21,0)</f>
        <v>#REF!</v>
      </c>
      <c r="M21" s="13" t="e">
        <f>IF(K21&gt;J21,G21^2*#REF!*D21*$B$5,0)</f>
        <v>#REF!</v>
      </c>
    </row>
    <row r="22" spans="2:13" x14ac:dyDescent="0.25">
      <c r="B22" s="1">
        <v>1</v>
      </c>
      <c r="C22" s="2" t="e">
        <f>#REF!</f>
        <v>#REF!</v>
      </c>
      <c r="D22" s="12" t="e">
        <f>IF(B22=1,#REF!,IF(B22=2,#REF!,IF(B22=3,#REF!,IF(B22=4,#REF!,IF(B22=5,#REF!,IF(B22=6,#REF!,IF(B22=7,#REF!,IF(B22=8,#REF!, IF(B22=9,#REF!,IF(B22=10,#REF!,IF(B22=11,#REF!,”Error”)))))))))))</f>
        <v>#REF!</v>
      </c>
      <c r="E22" s="12" t="e">
        <f>IF(#REF!="Si",1,IF(#REF!="No",0))</f>
        <v>#REF!</v>
      </c>
      <c r="F22" s="12" t="e">
        <f>IF(#REF!="Trifásico",3,IF(#REF!="Monofásico trifilar",2,IF(#REF!="Monofásico bifilar",1)))</f>
        <v>#REF!</v>
      </c>
      <c r="G22" s="9" t="e">
        <f>IF(#REF!="Trifásico",(#REF!)/(SQRT(3)*#REF!),IF(#REF!="Monofásico trifilar",(#REF!)/(#REF!),IF(#REF!="Monofásico bifilar",(#REF!)/(#REF!))))*(1+#REF!)</f>
        <v>#REF!</v>
      </c>
      <c r="H22" s="9" t="e">
        <f>IF(F22=3,#REF!*3*((Costos!G22/#REF!)^2)*#REF!*Costos!D22*Costos!$B$4,IF(F22=2,#REF!*2*((Costos!G22/#REF!)^2)*#REF!*Costos!D22*Costos!$B$4,IF(F22=1,#REF!*((Costos!G22/#REF!)^2)*#REF!*Costos!D22*Costos!$B$4,"error")))</f>
        <v>#REF!</v>
      </c>
      <c r="I22" s="9" t="e">
        <f>#REF!*#REF!*#REF!*1000</f>
        <v>#REF!</v>
      </c>
      <c r="J22" s="72" t="e">
        <f t="shared" si="0"/>
        <v>#REF!</v>
      </c>
      <c r="K22" s="72" t="e">
        <f>IF(#REF!&gt;57.5,#REF!,IF(#REF!&gt;29.99999999,#REF!,IF(#REF!&gt;0.9999999999,#REF!,IF(#REF!&gt;0.000000001,#REF!,"Error"))))</f>
        <v>#REF!</v>
      </c>
      <c r="L22" s="13" t="e">
        <f>IF(K22&gt;J22,(1+E22*0.04)*#REF!*D22,0)</f>
        <v>#REF!</v>
      </c>
      <c r="M22" s="13" t="e">
        <f>IF(K22&gt;J22,G22^2*#REF!*D22*$B$5,0)</f>
        <v>#REF!</v>
      </c>
    </row>
    <row r="23" spans="2:13" x14ac:dyDescent="0.25">
      <c r="B23" s="1">
        <v>1</v>
      </c>
      <c r="C23" s="2" t="e">
        <f>#REF!</f>
        <v>#REF!</v>
      </c>
      <c r="D23" s="12" t="e">
        <f>IF(B23=1,#REF!,IF(B23=2,#REF!,IF(B23=3,#REF!,IF(B23=4,#REF!,IF(B23=5,#REF!,IF(B23=6,#REF!,IF(B23=7,#REF!,IF(B23=8,#REF!, IF(B23=9,#REF!,IF(B23=10,#REF!,IF(B23=11,#REF!,”Error”)))))))))))</f>
        <v>#REF!</v>
      </c>
      <c r="E23" s="12" t="e">
        <f>IF(#REF!="Si",1,IF(#REF!="No",0))</f>
        <v>#REF!</v>
      </c>
      <c r="F23" s="12" t="e">
        <f>IF(#REF!="Trifásico",3,IF(#REF!="Monofásico trifilar",2,IF(#REF!="Monofásico bifilar",1)))</f>
        <v>#REF!</v>
      </c>
      <c r="G23" s="9" t="e">
        <f>IF(#REF!="Trifásico",(#REF!)/(SQRT(3)*#REF!),IF(#REF!="Monofásico trifilar",(#REF!)/(#REF!),IF(#REF!="Monofásico bifilar",(#REF!)/(#REF!))))*(1+#REF!)</f>
        <v>#REF!</v>
      </c>
      <c r="H23" s="9" t="e">
        <f>IF(F23=3,#REF!*3*((Costos!G23/#REF!)^2)*#REF!*Costos!D23*Costos!$B$4,IF(F23=2,#REF!*2*((Costos!G23/#REF!)^2)*#REF!*Costos!D23*Costos!$B$4,IF(F23=1,#REF!*((Costos!G23/#REF!)^2)*#REF!*Costos!D23*Costos!$B$4,"error")))</f>
        <v>#REF!</v>
      </c>
      <c r="I23" s="9" t="e">
        <f>#REF!*#REF!*#REF!*1000</f>
        <v>#REF!</v>
      </c>
      <c r="J23" s="72" t="e">
        <f t="shared" si="0"/>
        <v>#REF!</v>
      </c>
      <c r="K23" s="72" t="e">
        <f>IF(#REF!&gt;57.5,#REF!,IF(#REF!&gt;29.99999999,#REF!,IF(#REF!&gt;0.9999999999,#REF!,IF(#REF!&gt;0.000000001,#REF!,"Error"))))</f>
        <v>#REF!</v>
      </c>
      <c r="L23" s="13" t="e">
        <f>IF(K23&gt;J23,(1+E23*0.04)*#REF!*D23,0)</f>
        <v>#REF!</v>
      </c>
      <c r="M23" s="13" t="e">
        <f>IF(K23&gt;J23,G23^2*#REF!*D23*$B$5,0)</f>
        <v>#REF!</v>
      </c>
    </row>
    <row r="24" spans="2:13" x14ac:dyDescent="0.25">
      <c r="B24" s="1">
        <v>1</v>
      </c>
      <c r="C24" s="2" t="e">
        <f>#REF!</f>
        <v>#REF!</v>
      </c>
      <c r="D24" s="12" t="e">
        <f>IF(B24=1,#REF!,IF(B24=2,#REF!,IF(B24=3,#REF!,IF(B24=4,#REF!,IF(B24=5,#REF!,IF(B24=6,#REF!,IF(B24=7,#REF!,IF(B24=8,#REF!, IF(B24=9,#REF!,IF(B24=10,#REF!,IF(B24=11,#REF!,”Error”)))))))))))</f>
        <v>#REF!</v>
      </c>
      <c r="E24" s="12" t="e">
        <f>IF(#REF!="Si",1,IF(#REF!="No",0))</f>
        <v>#REF!</v>
      </c>
      <c r="F24" s="12" t="e">
        <f>IF(#REF!="Trifásico",3,IF(#REF!="Monofásico trifilar",2,IF(#REF!="Monofásico bifilar",1)))</f>
        <v>#REF!</v>
      </c>
      <c r="G24" s="9" t="e">
        <f>IF(#REF!="Trifásico",(#REF!)/(SQRT(3)*#REF!),IF(#REF!="Monofásico trifilar",(#REF!)/(#REF!),IF(#REF!="Monofásico bifilar",(#REF!)/(#REF!))))*(1+#REF!)</f>
        <v>#REF!</v>
      </c>
      <c r="H24" s="9" t="e">
        <f>IF(F24=3,#REF!*3*((Costos!G24/#REF!)^2)*#REF!*Costos!D24*Costos!$B$4,IF(F24=2,#REF!*2*((Costos!G24/#REF!)^2)*#REF!*Costos!D24*Costos!$B$4,IF(F24=1,#REF!*((Costos!G24/#REF!)^2)*#REF!*Costos!D24*Costos!$B$4,"error")))</f>
        <v>#REF!</v>
      </c>
      <c r="I24" s="9" t="e">
        <f>#REF!*#REF!*#REF!*1000</f>
        <v>#REF!</v>
      </c>
      <c r="J24" s="72" t="e">
        <f t="shared" si="0"/>
        <v>#REF!</v>
      </c>
      <c r="K24" s="72" t="e">
        <f>IF(#REF!&gt;57.5,#REF!,IF(#REF!&gt;29.99999999,#REF!,IF(#REF!&gt;0.9999999999,#REF!,IF(#REF!&gt;0.000000001,#REF!,"Error"))))</f>
        <v>#REF!</v>
      </c>
      <c r="L24" s="13" t="e">
        <f>IF(K24&gt;J24,(1+E24*0.04)*#REF!*D24,0)</f>
        <v>#REF!</v>
      </c>
      <c r="M24" s="13" t="e">
        <f>IF(K24&gt;J24,G24^2*#REF!*D24*$B$5,0)</f>
        <v>#REF!</v>
      </c>
    </row>
    <row r="25" spans="2:13" x14ac:dyDescent="0.25">
      <c r="B25" s="1">
        <v>1</v>
      </c>
      <c r="C25" s="2" t="e">
        <f>#REF!</f>
        <v>#REF!</v>
      </c>
      <c r="D25" s="12" t="e">
        <f>IF(B25=1,#REF!,IF(B25=2,#REF!,IF(B25=3,#REF!,IF(B25=4,#REF!,IF(B25=5,#REF!,IF(B25=6,#REF!,IF(B25=7,#REF!,IF(B25=8,#REF!, IF(B25=9,#REF!,IF(B25=10,#REF!,IF(B25=11,#REF!,”Error”)))))))))))</f>
        <v>#REF!</v>
      </c>
      <c r="E25" s="12" t="e">
        <f>IF(#REF!="Si",1,IF(#REF!="No",0))</f>
        <v>#REF!</v>
      </c>
      <c r="F25" s="12" t="e">
        <f>IF(#REF!="Trifásico",3,IF(#REF!="Monofásico trifilar",2,IF(#REF!="Monofásico bifilar",1)))</f>
        <v>#REF!</v>
      </c>
      <c r="G25" s="9" t="e">
        <f>IF(#REF!="Trifásico",(#REF!)/(SQRT(3)*#REF!),IF(#REF!="Monofásico trifilar",(#REF!)/(#REF!),IF(#REF!="Monofásico bifilar",(#REF!)/(#REF!))))*(1+#REF!)</f>
        <v>#REF!</v>
      </c>
      <c r="H25" s="9" t="e">
        <f>IF(F25=3,#REF!*3*((Costos!G25/#REF!)^2)*#REF!*Costos!D25*Costos!$B$4,IF(F25=2,#REF!*2*((Costos!G25/#REF!)^2)*#REF!*Costos!D25*Costos!$B$4,IF(F25=1,#REF!*((Costos!G25/#REF!)^2)*#REF!*Costos!D25*Costos!$B$4,"error")))</f>
        <v>#REF!</v>
      </c>
      <c r="I25" s="9" t="e">
        <f>#REF!*#REF!*#REF!*1000</f>
        <v>#REF!</v>
      </c>
      <c r="J25" s="72" t="e">
        <f t="shared" si="0"/>
        <v>#REF!</v>
      </c>
      <c r="K25" s="72" t="e">
        <f>IF(#REF!&gt;57.5,#REF!,IF(#REF!&gt;29.99999999,#REF!,IF(#REF!&gt;0.9999999999,#REF!,IF(#REF!&gt;0.000000001,#REF!,"Error"))))</f>
        <v>#REF!</v>
      </c>
      <c r="L25" s="13" t="e">
        <f>IF(K25&gt;J25,(1+E25*0.04)*#REF!*D25,0)</f>
        <v>#REF!</v>
      </c>
      <c r="M25" s="13" t="e">
        <f>IF(K25&gt;J25,G25^2*#REF!*D25*$B$5,0)</f>
        <v>#REF!</v>
      </c>
    </row>
    <row r="26" spans="2:13" x14ac:dyDescent="0.25">
      <c r="B26" s="1">
        <v>1</v>
      </c>
      <c r="C26" s="2" t="e">
        <f>#REF!</f>
        <v>#REF!</v>
      </c>
      <c r="D26" s="12" t="e">
        <f>IF(B26=1,#REF!,IF(B26=2,#REF!,IF(B26=3,#REF!,IF(B26=4,#REF!,IF(B26=5,#REF!,IF(B26=6,#REF!,IF(B26=7,#REF!,IF(B26=8,#REF!, IF(B26=9,#REF!,IF(B26=10,#REF!,IF(B26=11,#REF!,”Error”)))))))))))</f>
        <v>#REF!</v>
      </c>
      <c r="E26" s="12" t="e">
        <f>IF(#REF!="Si",1,IF(#REF!="No",0))</f>
        <v>#REF!</v>
      </c>
      <c r="F26" s="12" t="e">
        <f>IF(#REF!="Trifásico",3,IF(#REF!="Monofásico trifilar",2,IF(#REF!="Monofásico bifilar",1)))</f>
        <v>#REF!</v>
      </c>
      <c r="G26" s="9" t="e">
        <f>IF(#REF!="Trifásico",(#REF!)/(SQRT(3)*#REF!),IF(#REF!="Monofásico trifilar",(#REF!)/(#REF!),IF(#REF!="Monofásico bifilar",(#REF!)/(#REF!))))*(1+#REF!)</f>
        <v>#REF!</v>
      </c>
      <c r="H26" s="9" t="e">
        <f>IF(F26=3,#REF!*3*((Costos!G26/#REF!)^2)*#REF!*Costos!D26*Costos!$B$4,IF(F26=2,#REF!*2*((Costos!G26/#REF!)^2)*#REF!*Costos!D26*Costos!$B$4,IF(F26=1,#REF!*((Costos!G26/#REF!)^2)*#REF!*Costos!D26*Costos!$B$4,"error")))</f>
        <v>#REF!</v>
      </c>
      <c r="I26" s="9" t="e">
        <f>#REF!*#REF!*#REF!*1000</f>
        <v>#REF!</v>
      </c>
      <c r="J26" s="72" t="e">
        <f t="shared" si="0"/>
        <v>#REF!</v>
      </c>
      <c r="K26" s="72" t="e">
        <f>IF(#REF!&gt;57.5,#REF!,IF(#REF!&gt;29.99999999,#REF!,IF(#REF!&gt;0.9999999999,#REF!,IF(#REF!&gt;0.000000001,#REF!,"Error"))))</f>
        <v>#REF!</v>
      </c>
      <c r="L26" s="13" t="e">
        <f>IF(K26&gt;J26,(1+E26*0.04)*#REF!*D26,0)</f>
        <v>#REF!</v>
      </c>
      <c r="M26" s="13" t="e">
        <f>IF(K26&gt;J26,G26^2*#REF!*D26*$B$5,0)</f>
        <v>#REF!</v>
      </c>
    </row>
    <row r="27" spans="2:13" x14ac:dyDescent="0.25">
      <c r="B27" s="1">
        <v>1</v>
      </c>
      <c r="C27" s="2" t="e">
        <f>#REF!</f>
        <v>#REF!</v>
      </c>
      <c r="D27" s="12" t="e">
        <f>IF(B27=1,#REF!,IF(B27=2,#REF!,IF(B27=3,#REF!,IF(B27=4,#REF!,IF(B27=5,#REF!,IF(B27=6,#REF!,IF(B27=7,#REF!,IF(B27=8,#REF!, IF(B27=9,#REF!,IF(B27=10,#REF!,IF(B27=11,#REF!,”Error”)))))))))))</f>
        <v>#REF!</v>
      </c>
      <c r="E27" s="12" t="e">
        <f>IF(#REF!="Si",1,IF(#REF!="No",0))</f>
        <v>#REF!</v>
      </c>
      <c r="F27" s="12" t="e">
        <f>IF(#REF!="Trifásico",3,IF(#REF!="Monofásico trifilar",2,IF(#REF!="Monofásico bifilar",1)))</f>
        <v>#REF!</v>
      </c>
      <c r="G27" s="9" t="e">
        <f>IF(#REF!="Trifásico",(#REF!)/(SQRT(3)*#REF!),IF(#REF!="Monofásico trifilar",(#REF!)/(#REF!),IF(#REF!="Monofásico bifilar",(#REF!)/(#REF!))))*(1+#REF!)</f>
        <v>#REF!</v>
      </c>
      <c r="H27" s="9" t="e">
        <f>IF(F27=3,#REF!*3*((Costos!G27/#REF!)^2)*#REF!*Costos!D27*Costos!$B$4,IF(F27=2,#REF!*2*((Costos!G27/#REF!)^2)*#REF!*Costos!D27*Costos!$B$4,IF(F27=1,#REF!*((Costos!G27/#REF!)^2)*#REF!*Costos!D27*Costos!$B$4,"error")))</f>
        <v>#REF!</v>
      </c>
      <c r="I27" s="9" t="e">
        <f>#REF!*#REF!*#REF!*1000</f>
        <v>#REF!</v>
      </c>
      <c r="J27" s="72" t="e">
        <f t="shared" si="0"/>
        <v>#REF!</v>
      </c>
      <c r="K27" s="72" t="e">
        <f>IF(#REF!&gt;57.5,#REF!,IF(#REF!&gt;29.99999999,#REF!,IF(#REF!&gt;0.9999999999,#REF!,IF(#REF!&gt;0.000000001,#REF!,"Error"))))</f>
        <v>#REF!</v>
      </c>
      <c r="L27" s="13" t="e">
        <f>IF(K27&gt;J27,(1+E27*0.04)*#REF!*D27,0)</f>
        <v>#REF!</v>
      </c>
      <c r="M27" s="13" t="e">
        <f>IF(K27&gt;J27,G27^2*#REF!*D27*$B$5,0)</f>
        <v>#REF!</v>
      </c>
    </row>
    <row r="28" spans="2:13" x14ac:dyDescent="0.25">
      <c r="B28" s="1">
        <v>1</v>
      </c>
      <c r="C28" s="2" t="e">
        <f>#REF!</f>
        <v>#REF!</v>
      </c>
      <c r="D28" s="12" t="e">
        <f>IF(B28=1,#REF!,IF(B28=2,#REF!,IF(B28=3,#REF!,IF(B28=4,#REF!,IF(B28=5,#REF!,IF(B28=6,#REF!,IF(B28=7,#REF!,IF(B28=8,#REF!, IF(B28=9,#REF!,IF(B28=10,#REF!,IF(B28=11,#REF!,”Error”)))))))))))</f>
        <v>#REF!</v>
      </c>
      <c r="E28" s="12" t="e">
        <f>IF(#REF!="Si",1,IF(#REF!="No",0))</f>
        <v>#REF!</v>
      </c>
      <c r="F28" s="12" t="e">
        <f>IF(#REF!="Trifásico",3,IF(#REF!="Monofásico trifilar",2,IF(#REF!="Monofásico bifilar",1)))</f>
        <v>#REF!</v>
      </c>
      <c r="G28" s="9" t="e">
        <f>IF(#REF!="Trifásico",(#REF!)/(SQRT(3)*#REF!),IF(#REF!="Monofásico trifilar",(#REF!)/(#REF!),IF(#REF!="Monofásico bifilar",(#REF!)/(#REF!))))*(1+#REF!)</f>
        <v>#REF!</v>
      </c>
      <c r="H28" s="9" t="e">
        <f>IF(F28=3,#REF!*3*((Costos!G28/#REF!)^2)*#REF!*Costos!D28*Costos!$B$4,IF(F28=2,#REF!*2*((Costos!G28/#REF!)^2)*#REF!*Costos!D28*Costos!$B$4,IF(F28=1,#REF!*((Costos!G28/#REF!)^2)*#REF!*Costos!D28*Costos!$B$4,"error")))</f>
        <v>#REF!</v>
      </c>
      <c r="I28" s="9" t="e">
        <f>#REF!*#REF!*#REF!*1000</f>
        <v>#REF!</v>
      </c>
      <c r="J28" s="72" t="e">
        <f t="shared" si="0"/>
        <v>#REF!</v>
      </c>
      <c r="K28" s="72" t="e">
        <f>IF(#REF!&gt;57.5,#REF!,IF(#REF!&gt;29.99999999,#REF!,IF(#REF!&gt;0.9999999999,#REF!,IF(#REF!&gt;0.000000001,#REF!,"Error"))))</f>
        <v>#REF!</v>
      </c>
      <c r="L28" s="13" t="e">
        <f>IF(K28&gt;J28,(1+E28*0.04)*#REF!*D28,0)</f>
        <v>#REF!</v>
      </c>
      <c r="M28" s="13" t="e">
        <f>IF(K28&gt;J28,G28^2*#REF!*D28*$B$5,0)</f>
        <v>#REF!</v>
      </c>
    </row>
    <row r="29" spans="2:13" x14ac:dyDescent="0.25">
      <c r="B29" s="1">
        <v>1</v>
      </c>
      <c r="C29" s="2" t="e">
        <f>#REF!</f>
        <v>#REF!</v>
      </c>
      <c r="D29" s="12" t="e">
        <f>IF(B29=1,#REF!,IF(B29=2,#REF!,IF(B29=3,#REF!,IF(B29=4,#REF!,IF(B29=5,#REF!,IF(B29=6,#REF!,IF(B29=7,#REF!,IF(B29=8,#REF!, IF(B29=9,#REF!,IF(B29=10,#REF!,IF(B29=11,#REF!,”Error”)))))))))))</f>
        <v>#REF!</v>
      </c>
      <c r="E29" s="12" t="e">
        <f>IF(#REF!="Si",1,IF(#REF!="No",0))</f>
        <v>#REF!</v>
      </c>
      <c r="F29" s="12" t="e">
        <f>IF(#REF!="Trifásico",3,IF(#REF!="Monofásico trifilar",2,IF(#REF!="Monofásico bifilar",1)))</f>
        <v>#REF!</v>
      </c>
      <c r="G29" s="9" t="e">
        <f>IF(#REF!="Trifásico",(#REF!)/(SQRT(3)*#REF!),IF(#REF!="Monofásico trifilar",(#REF!)/(#REF!),IF(#REF!="Monofásico bifilar",(#REF!)/(#REF!))))*(1+#REF!)</f>
        <v>#REF!</v>
      </c>
      <c r="H29" s="9" t="e">
        <f>IF(F29=3,#REF!*3*((Costos!G29/#REF!)^2)*#REF!*Costos!D29*Costos!$B$4,IF(F29=2,#REF!*2*((Costos!G29/#REF!)^2)*#REF!*Costos!D29*Costos!$B$4,IF(F29=1,#REF!*((Costos!G29/#REF!)^2)*#REF!*Costos!D29*Costos!$B$4,"error")))</f>
        <v>#REF!</v>
      </c>
      <c r="I29" s="9" t="e">
        <f>#REF!*#REF!*#REF!*1000</f>
        <v>#REF!</v>
      </c>
      <c r="J29" s="72" t="e">
        <f t="shared" si="0"/>
        <v>#REF!</v>
      </c>
      <c r="K29" s="72" t="e">
        <f>IF(#REF!&gt;57.5,#REF!,IF(#REF!&gt;29.99999999,#REF!,IF(#REF!&gt;0.9999999999,#REF!,IF(#REF!&gt;0.000000001,#REF!,"Error"))))</f>
        <v>#REF!</v>
      </c>
      <c r="L29" s="13" t="e">
        <f>IF(K29&gt;J29,(1+E29*0.04)*#REF!*D29,0)</f>
        <v>#REF!</v>
      </c>
      <c r="M29" s="13" t="e">
        <f>IF(K29&gt;J29,G29^2*#REF!*D29*$B$5,0)</f>
        <v>#REF!</v>
      </c>
    </row>
    <row r="30" spans="2:13" x14ac:dyDescent="0.25">
      <c r="B30" s="1">
        <v>1</v>
      </c>
      <c r="C30" s="2" t="e">
        <f>#REF!</f>
        <v>#REF!</v>
      </c>
      <c r="D30" s="12" t="e">
        <f>IF(B30=1,#REF!,IF(B30=2,#REF!,IF(B30=3,#REF!,IF(B30=4,#REF!,IF(B30=5,#REF!,IF(B30=6,#REF!,IF(B30=7,#REF!,IF(B30=8,#REF!, IF(B30=9,#REF!,IF(B30=10,#REF!,IF(B30=11,#REF!,”Error”)))))))))))</f>
        <v>#REF!</v>
      </c>
      <c r="E30" s="12" t="e">
        <f>IF(#REF!="Si",1,IF(#REF!="No",0))</f>
        <v>#REF!</v>
      </c>
      <c r="F30" s="12" t="e">
        <f>IF(#REF!="Trifásico",3,IF(#REF!="Monofásico trifilar",2,IF(#REF!="Monofásico bifilar",1)))</f>
        <v>#REF!</v>
      </c>
      <c r="G30" s="9" t="e">
        <f>IF(#REF!="Trifásico",(#REF!)/(SQRT(3)*#REF!),IF(#REF!="Monofásico trifilar",(#REF!)/(#REF!),IF(#REF!="Monofásico bifilar",(#REF!)/(#REF!))))*(1+#REF!)</f>
        <v>#REF!</v>
      </c>
      <c r="H30" s="9" t="e">
        <f>IF(F30=3,#REF!*3*((Costos!G30/#REF!)^2)*#REF!*Costos!D30*Costos!$B$4,IF(F30=2,#REF!*2*((Costos!G30/#REF!)^2)*#REF!*Costos!D30*Costos!$B$4,IF(F30=1,#REF!*((Costos!G30/#REF!)^2)*#REF!*Costos!D30*Costos!$B$4,"error")))</f>
        <v>#REF!</v>
      </c>
      <c r="I30" s="9" t="e">
        <f>#REF!*#REF!*#REF!*1000</f>
        <v>#REF!</v>
      </c>
      <c r="J30" s="72" t="e">
        <f t="shared" si="0"/>
        <v>#REF!</v>
      </c>
      <c r="K30" s="72" t="e">
        <f>IF(#REF!&gt;57.5,#REF!,IF(#REF!&gt;29.99999999,#REF!,IF(#REF!&gt;0.9999999999,#REF!,IF(#REF!&gt;0.000000001,#REF!,"Error"))))</f>
        <v>#REF!</v>
      </c>
      <c r="L30" s="13" t="e">
        <f>IF(K30&gt;J30,(1+E30*0.04)*#REF!*D30,0)</f>
        <v>#REF!</v>
      </c>
      <c r="M30" s="13" t="e">
        <f>IF(K30&gt;J30,G30^2*#REF!*D30*$B$5,0)</f>
        <v>#REF!</v>
      </c>
    </row>
    <row r="31" spans="2:13" x14ac:dyDescent="0.25">
      <c r="B31" s="2">
        <v>2</v>
      </c>
      <c r="C31" s="2" t="e">
        <f>#REF!</f>
        <v>#REF!</v>
      </c>
      <c r="D31" s="12" t="e">
        <f>IF(B31=1,#REF!,IF(B31=2,#REF!,IF(B31=3,#REF!,IF(B31=4,#REF!,IF(B31=5,#REF!,IF(B31=6,#REF!,IF(B31=7,#REF!,IF(B31=8,#REF!, IF(B31=9,#REF!,IF(B31=10,#REF!,IF(B31=11,#REF!,”Error”)))))))))))</f>
        <v>#REF!</v>
      </c>
      <c r="E31" s="12" t="e">
        <f>IF(#REF!="Si",1,IF(#REF!="No",0))</f>
        <v>#REF!</v>
      </c>
      <c r="F31" s="12" t="e">
        <f>IF(#REF!="Trifásico",3,IF(#REF!="Monofásico trifilar",2,IF(#REF!="Monofásico bifilar",1)))</f>
        <v>#REF!</v>
      </c>
      <c r="G31" s="22" t="e">
        <f>IF(#REF!="Trifásico",(#REF!)/(SQRT(3)*#REF!),IF(#REF!="Monofásico trifilar",(#REF!)/(#REF!),IF(#REF!="Monofásico bifilar",(#REF!)/(#REF!))))*(1+#REF!)</f>
        <v>#REF!</v>
      </c>
      <c r="H31" s="9" t="e">
        <f>IF(F31=3,#REF!*3*((Costos!G31/#REF!)^2)*#REF!*Costos!D31*Costos!$B$4,IF(F31=2,#REF!*2*((Costos!G31/#REF!)^2)*#REF!*Costos!D31*Costos!$B$4,IF(F31=1,#REF!*((Costos!G31/#REF!)^2)*#REF!*Costos!D31*Costos!$B$4,"error")))</f>
        <v>#REF!</v>
      </c>
      <c r="I31" s="9" t="e">
        <f>#REF!*#REF!*#REF!*1000</f>
        <v>#REF!</v>
      </c>
      <c r="J31" s="72" t="e">
        <f t="shared" si="0"/>
        <v>#REF!</v>
      </c>
      <c r="K31" s="72" t="e">
        <f>IF(#REF!&gt;57.5,#REF!,IF(#REF!&gt;29.99999999,#REF!,IF(#REF!&gt;0.9999999999,#REF!,IF(#REF!&gt;0.000000001,#REF!,"Error"))))</f>
        <v>#REF!</v>
      </c>
      <c r="L31" s="13" t="e">
        <f>IF(K31&gt;J31,(1+E31*0.04)*#REF!*D31,0)</f>
        <v>#REF!</v>
      </c>
      <c r="M31" s="13" t="e">
        <f>IF(K31&gt;J31,G31^2*#REF!*D31*$B$5,0)</f>
        <v>#REF!</v>
      </c>
    </row>
    <row r="32" spans="2:13" x14ac:dyDescent="0.25">
      <c r="B32" s="2">
        <v>2</v>
      </c>
      <c r="C32" s="2" t="e">
        <f>#REF!</f>
        <v>#REF!</v>
      </c>
      <c r="D32" s="12" t="e">
        <f>IF(B32=1,#REF!,IF(B32=2,#REF!,IF(B32=3,#REF!,IF(B32=4,#REF!,IF(B32=5,#REF!,IF(B32=6,#REF!,IF(B32=7,#REF!,IF(B32=8,#REF!, IF(B32=9,#REF!,IF(B32=10,#REF!,IF(B32=11,#REF!,”Error”)))))))))))</f>
        <v>#REF!</v>
      </c>
      <c r="E32" s="12" t="e">
        <f>IF(#REF!="Si",1,IF(#REF!="No",0))</f>
        <v>#REF!</v>
      </c>
      <c r="F32" s="12" t="e">
        <f>IF(#REF!="Trifásico",3,IF(#REF!="Monofásico trifilar",2,IF(#REF!="Monofásico bifilar",1)))</f>
        <v>#REF!</v>
      </c>
      <c r="G32" s="22" t="e">
        <f>IF(#REF!="Trifásico",(#REF!)/(SQRT(3)*#REF!),IF(#REF!="Monofásico trifilar",(#REF!)/(#REF!),IF(#REF!="Monofásico bifilar",(#REF!)/(#REF!))))*(1+#REF!)</f>
        <v>#REF!</v>
      </c>
      <c r="H32" s="9" t="e">
        <f>IF(F32=3,#REF!*3*((Costos!G32/#REF!)^2)*#REF!*Costos!D32*Costos!$B$4,IF(F32=2,#REF!*2*((Costos!G32/#REF!)^2)*#REF!*Costos!D32*Costos!$B$4,IF(F32=1,#REF!*((Costos!G32/#REF!)^2)*#REF!*Costos!D32*Costos!$B$4,"error")))</f>
        <v>#REF!</v>
      </c>
      <c r="I32" s="9" t="e">
        <f>#REF!*#REF!*#REF!*1000</f>
        <v>#REF!</v>
      </c>
      <c r="J32" s="72" t="e">
        <f t="shared" si="0"/>
        <v>#REF!</v>
      </c>
      <c r="K32" s="72" t="e">
        <f>IF(#REF!&gt;57.5,#REF!,IF(#REF!&gt;29.99999999,#REF!,IF(#REF!&gt;0.9999999999,#REF!,IF(#REF!&gt;0.000000001,#REF!,"Error"))))</f>
        <v>#REF!</v>
      </c>
      <c r="L32" s="13" t="e">
        <f>IF(K32&gt;J32,(1+E32*0.04)*#REF!*D32,0)</f>
        <v>#REF!</v>
      </c>
      <c r="M32" s="13" t="e">
        <f>IF(K32&gt;J32,G32^2*#REF!*D32*$B$5,0)</f>
        <v>#REF!</v>
      </c>
    </row>
    <row r="33" spans="2:13" x14ac:dyDescent="0.25">
      <c r="B33" s="2">
        <v>2</v>
      </c>
      <c r="C33" s="2" t="e">
        <f>#REF!</f>
        <v>#REF!</v>
      </c>
      <c r="D33" s="12" t="e">
        <f>IF(B33=1,#REF!,IF(B33=2,#REF!,IF(B33=3,#REF!,IF(B33=4,#REF!,IF(B33=5,#REF!,IF(B33=6,#REF!,IF(B33=7,#REF!,IF(B33=8,#REF!, IF(B33=9,#REF!,IF(B33=10,#REF!,IF(B33=11,#REF!,”Error”)))))))))))</f>
        <v>#REF!</v>
      </c>
      <c r="E33" s="12" t="e">
        <f>IF(#REF!="Si",1,IF(#REF!="No",0))</f>
        <v>#REF!</v>
      </c>
      <c r="F33" s="12" t="e">
        <f>IF(#REF!="Trifásico",3,IF(#REF!="Monofásico trifilar",2,IF(#REF!="Monofásico bifilar",1)))</f>
        <v>#REF!</v>
      </c>
      <c r="G33" s="22" t="e">
        <f>IF(#REF!="Trifásico",(#REF!)/(SQRT(3)*#REF!),IF(#REF!="Monofásico trifilar",(#REF!)/(#REF!),IF(#REF!="Monofásico bifilar",(#REF!)/(#REF!))))*(1+#REF!)</f>
        <v>#REF!</v>
      </c>
      <c r="H33" s="9" t="e">
        <f>IF(F33=3,#REF!*3*((Costos!G33/#REF!)^2)*#REF!*Costos!D33*Costos!$B$4,IF(F33=2,#REF!*2*((Costos!G33/#REF!)^2)*#REF!*Costos!D33*Costos!$B$4,IF(F33=1,#REF!*((Costos!G33/#REF!)^2)*#REF!*Costos!D33*Costos!$B$4,"error")))</f>
        <v>#REF!</v>
      </c>
      <c r="I33" s="9" t="e">
        <f>#REF!*#REF!*#REF!*1000</f>
        <v>#REF!</v>
      </c>
      <c r="J33" s="72" t="e">
        <f t="shared" si="0"/>
        <v>#REF!</v>
      </c>
      <c r="K33" s="72" t="e">
        <f>IF(#REF!&gt;57.5,#REF!,IF(#REF!&gt;29.99999999,#REF!,IF(#REF!&gt;0.9999999999,#REF!,IF(#REF!&gt;0.000000001,#REF!,"Error"))))</f>
        <v>#REF!</v>
      </c>
      <c r="L33" s="13" t="e">
        <f>IF(K33&gt;J33,(1+E33*0.04)*#REF!*D33,0)</f>
        <v>#REF!</v>
      </c>
      <c r="M33" s="13" t="e">
        <f>IF(K33&gt;J33,G33^2*#REF!*D33*$B$5,0)</f>
        <v>#REF!</v>
      </c>
    </row>
    <row r="34" spans="2:13" x14ac:dyDescent="0.25">
      <c r="B34" s="2">
        <v>2</v>
      </c>
      <c r="C34" s="2" t="e">
        <f>#REF!</f>
        <v>#REF!</v>
      </c>
      <c r="D34" s="12" t="e">
        <f>IF(B34=1,#REF!,IF(B34=2,#REF!,IF(B34=3,#REF!,IF(B34=4,#REF!,IF(B34=5,#REF!,IF(B34=6,#REF!,IF(B34=7,#REF!,IF(B34=8,#REF!, IF(B34=9,#REF!,IF(B34=10,#REF!,IF(B34=11,#REF!,”Error”)))))))))))</f>
        <v>#REF!</v>
      </c>
      <c r="E34" s="12" t="e">
        <f>IF(#REF!="Si",1,IF(#REF!="No",0))</f>
        <v>#REF!</v>
      </c>
      <c r="F34" s="12" t="e">
        <f>IF(#REF!="Trifásico",3,IF(#REF!="Monofásico trifilar",2,IF(#REF!="Monofásico bifilar",1)))</f>
        <v>#REF!</v>
      </c>
      <c r="G34" s="22" t="e">
        <f>IF(#REF!="Trifásico",(#REF!)/(SQRT(3)*#REF!),IF(#REF!="Monofásico trifilar",(#REF!)/(#REF!),IF(#REF!="Monofásico bifilar",(#REF!)/(#REF!))))*(1+#REF!)</f>
        <v>#REF!</v>
      </c>
      <c r="H34" s="9" t="e">
        <f>IF(F34=3,#REF!*3*((Costos!G34/#REF!)^2)*#REF!*Costos!D34*Costos!$B$4,IF(F34=2,#REF!*2*((Costos!G34/#REF!)^2)*#REF!*Costos!D34*Costos!$B$4,IF(F34=1,#REF!*((Costos!G34/#REF!)^2)*#REF!*Costos!D34*Costos!$B$4,"error")))</f>
        <v>#REF!</v>
      </c>
      <c r="I34" s="9" t="e">
        <f>#REF!*#REF!*#REF!*1000</f>
        <v>#REF!</v>
      </c>
      <c r="J34" s="72" t="e">
        <f t="shared" si="0"/>
        <v>#REF!</v>
      </c>
      <c r="K34" s="72" t="e">
        <f>IF(#REF!&gt;57.5,#REF!,IF(#REF!&gt;29.99999999,#REF!,IF(#REF!&gt;0.9999999999,#REF!,IF(#REF!&gt;0.000000001,#REF!,"Error"))))</f>
        <v>#REF!</v>
      </c>
      <c r="L34" s="13" t="e">
        <f>IF(K34&gt;J34,(1+E34*0.04)*#REF!*D34,0)</f>
        <v>#REF!</v>
      </c>
      <c r="M34" s="13" t="e">
        <f>IF(K34&gt;J34,G34^2*#REF!*D34*$B$5,0)</f>
        <v>#REF!</v>
      </c>
    </row>
    <row r="35" spans="2:13" x14ac:dyDescent="0.25">
      <c r="B35" s="2">
        <v>2</v>
      </c>
      <c r="C35" s="2" t="e">
        <f>#REF!</f>
        <v>#REF!</v>
      </c>
      <c r="D35" s="12" t="e">
        <f>IF(B35=1,#REF!,IF(B35=2,#REF!,IF(B35=3,#REF!,IF(B35=4,#REF!,IF(B35=5,#REF!,IF(B35=6,#REF!,IF(B35=7,#REF!,IF(B35=8,#REF!, IF(B35=9,#REF!,IF(B35=10,#REF!,IF(B35=11,#REF!,”Error”)))))))))))</f>
        <v>#REF!</v>
      </c>
      <c r="E35" s="12" t="e">
        <f>IF(#REF!="Si",1,IF(#REF!="No",0))</f>
        <v>#REF!</v>
      </c>
      <c r="F35" s="12" t="e">
        <f>IF(#REF!="Trifásico",3,IF(#REF!="Monofásico trifilar",2,IF(#REF!="Monofásico bifilar",1)))</f>
        <v>#REF!</v>
      </c>
      <c r="G35" s="22" t="e">
        <f>IF(#REF!="Trifásico",(#REF!)/(SQRT(3)*#REF!),IF(#REF!="Monofásico trifilar",(#REF!)/(#REF!),IF(#REF!="Monofásico bifilar",(#REF!)/(#REF!))))*(1+#REF!)</f>
        <v>#REF!</v>
      </c>
      <c r="H35" s="9" t="e">
        <f>IF(F35=3,#REF!*3*((Costos!G35/#REF!)^2)*#REF!*Costos!D35*Costos!$B$4,IF(F35=2,#REF!*2*((Costos!G35/#REF!)^2)*#REF!*Costos!D35*Costos!$B$4,IF(F35=1,#REF!*((Costos!G35/#REF!)^2)*#REF!*Costos!D35*Costos!$B$4,"error")))</f>
        <v>#REF!</v>
      </c>
      <c r="I35" s="9" t="e">
        <f>#REF!*#REF!*#REF!*1000</f>
        <v>#REF!</v>
      </c>
      <c r="J35" s="72" t="e">
        <f t="shared" si="0"/>
        <v>#REF!</v>
      </c>
      <c r="K35" s="72" t="e">
        <f>IF(#REF!&gt;57.5,#REF!,IF(#REF!&gt;29.99999999,#REF!,IF(#REF!&gt;0.9999999999,#REF!,IF(#REF!&gt;0.000000001,#REF!,"Error"))))</f>
        <v>#REF!</v>
      </c>
      <c r="L35" s="13" t="e">
        <f>IF(K35&gt;J35,(1+E35*0.04)*#REF!*D35,0)</f>
        <v>#REF!</v>
      </c>
      <c r="M35" s="13" t="e">
        <f>IF(K35&gt;J35,G35^2*#REF!*D35*$B$5,0)</f>
        <v>#REF!</v>
      </c>
    </row>
    <row r="36" spans="2:13" x14ac:dyDescent="0.25">
      <c r="B36" s="2">
        <v>2</v>
      </c>
      <c r="C36" s="2" t="e">
        <f>#REF!</f>
        <v>#REF!</v>
      </c>
      <c r="D36" s="12" t="e">
        <f>IF(B36=1,#REF!,IF(B36=2,#REF!,IF(B36=3,#REF!,IF(B36=4,#REF!,IF(B36=5,#REF!,IF(B36=6,#REF!,IF(B36=7,#REF!,IF(B36=8,#REF!, IF(B36=9,#REF!,IF(B36=10,#REF!,IF(B36=11,#REF!,”Error”)))))))))))</f>
        <v>#REF!</v>
      </c>
      <c r="E36" s="12" t="e">
        <f>IF(#REF!="Si",1,IF(#REF!="No",0))</f>
        <v>#REF!</v>
      </c>
      <c r="F36" s="12" t="e">
        <f>IF(#REF!="Trifásico",3,IF(#REF!="Monofásico trifilar",2,IF(#REF!="Monofásico bifilar",1)))</f>
        <v>#REF!</v>
      </c>
      <c r="G36" s="22" t="e">
        <f>IF(#REF!="Trifásico",(#REF!)/(SQRT(3)*#REF!),IF(#REF!="Monofásico trifilar",(#REF!)/(#REF!),IF(#REF!="Monofásico bifilar",(#REF!)/(#REF!))))*(1+#REF!)</f>
        <v>#REF!</v>
      </c>
      <c r="H36" s="9" t="e">
        <f>IF(F36=3,#REF!*3*((Costos!G36/#REF!)^2)*#REF!*Costos!D36*Costos!$B$4,IF(F36=2,#REF!*2*((Costos!G36/#REF!)^2)*#REF!*Costos!D36*Costos!$B$4,IF(F36=1,#REF!*((Costos!G36/#REF!)^2)*#REF!*Costos!D36*Costos!$B$4,"error")))</f>
        <v>#REF!</v>
      </c>
      <c r="I36" s="9" t="e">
        <f>#REF!*#REF!*#REF!*1000</f>
        <v>#REF!</v>
      </c>
      <c r="J36" s="72" t="e">
        <f t="shared" si="0"/>
        <v>#REF!</v>
      </c>
      <c r="K36" s="72" t="e">
        <f>IF(#REF!&gt;57.5,#REF!,IF(#REF!&gt;29.99999999,#REF!,IF(#REF!&gt;0.9999999999,#REF!,IF(#REF!&gt;0.000000001,#REF!,"Error"))))</f>
        <v>#REF!</v>
      </c>
      <c r="L36" s="13" t="e">
        <f>IF(K36&gt;J36,(1+E36*0.04)*#REF!*D36,0)</f>
        <v>#REF!</v>
      </c>
      <c r="M36" s="13" t="e">
        <f>IF(K36&gt;J36,G36^2*#REF!*D36*$B$5,0)</f>
        <v>#REF!</v>
      </c>
    </row>
    <row r="37" spans="2:13" x14ac:dyDescent="0.25">
      <c r="B37" s="2">
        <v>2</v>
      </c>
      <c r="C37" s="2" t="e">
        <f>#REF!</f>
        <v>#REF!</v>
      </c>
      <c r="D37" s="12" t="e">
        <f>IF(B37=1,#REF!,IF(B37=2,#REF!,IF(B37=3,#REF!,IF(B37=4,#REF!,IF(B37=5,#REF!,IF(B37=6,#REF!,IF(B37=7,#REF!,IF(B37=8,#REF!, IF(B37=9,#REF!,IF(B37=10,#REF!,IF(B37=11,#REF!,”Error”)))))))))))</f>
        <v>#REF!</v>
      </c>
      <c r="E37" s="12" t="e">
        <f>IF(#REF!="Si",1,IF(#REF!="No",0))</f>
        <v>#REF!</v>
      </c>
      <c r="F37" s="12" t="e">
        <f>IF(#REF!="Trifásico",3,IF(#REF!="Monofásico trifilar",2,IF(#REF!="Monofásico bifilar",1)))</f>
        <v>#REF!</v>
      </c>
      <c r="G37" s="22" t="e">
        <f>IF(#REF!="Trifásico",(#REF!)/(SQRT(3)*#REF!),IF(#REF!="Monofásico trifilar",(#REF!)/(#REF!),IF(#REF!="Monofásico bifilar",(#REF!)/(#REF!))))*(1+#REF!)</f>
        <v>#REF!</v>
      </c>
      <c r="H37" s="9" t="e">
        <f>IF(F37=3,#REF!*3*((Costos!G37/#REF!)^2)*#REF!*Costos!D37*Costos!$B$4,IF(F37=2,#REF!*2*((Costos!G37/#REF!)^2)*#REF!*Costos!D37*Costos!$B$4,IF(F37=1,#REF!*((Costos!G37/#REF!)^2)*#REF!*Costos!D37*Costos!$B$4,"error")))</f>
        <v>#REF!</v>
      </c>
      <c r="I37" s="9" t="e">
        <f>#REF!*#REF!*#REF!*1000</f>
        <v>#REF!</v>
      </c>
      <c r="J37" s="72" t="e">
        <f t="shared" si="0"/>
        <v>#REF!</v>
      </c>
      <c r="K37" s="72" t="e">
        <f>IF(#REF!&gt;57.5,#REF!,IF(#REF!&gt;29.99999999,#REF!,IF(#REF!&gt;0.9999999999,#REF!,IF(#REF!&gt;0.000000001,#REF!,"Error"))))</f>
        <v>#REF!</v>
      </c>
      <c r="L37" s="13" t="e">
        <f>IF(K37&gt;J37,(1+E37*0.04)*#REF!*D37,0)</f>
        <v>#REF!</v>
      </c>
      <c r="M37" s="13" t="e">
        <f>IF(K37&gt;J37,G37^2*#REF!*D37*$B$5,0)</f>
        <v>#REF!</v>
      </c>
    </row>
    <row r="38" spans="2:13" x14ac:dyDescent="0.25">
      <c r="B38" s="2">
        <v>2</v>
      </c>
      <c r="C38" s="2" t="e">
        <f>#REF!</f>
        <v>#REF!</v>
      </c>
      <c r="D38" s="12" t="e">
        <f>IF(B38=1,#REF!,IF(B38=2,#REF!,IF(B38=3,#REF!,IF(B38=4,#REF!,IF(B38=5,#REF!,IF(B38=6,#REF!,IF(B38=7,#REF!,IF(B38=8,#REF!, IF(B38=9,#REF!,IF(B38=10,#REF!,IF(B38=11,#REF!,”Error”)))))))))))</f>
        <v>#REF!</v>
      </c>
      <c r="E38" s="12" t="e">
        <f>IF(#REF!="Si",1,IF(#REF!="No",0))</f>
        <v>#REF!</v>
      </c>
      <c r="F38" s="12" t="e">
        <f>IF(#REF!="Trifásico",3,IF(#REF!="Monofásico trifilar",2,IF(#REF!="Monofásico bifilar",1)))</f>
        <v>#REF!</v>
      </c>
      <c r="G38" s="22" t="e">
        <f>IF(#REF!="Trifásico",(#REF!)/(SQRT(3)*#REF!),IF(#REF!="Monofásico trifilar",(#REF!)/(#REF!),IF(#REF!="Monofásico bifilar",(#REF!)/(#REF!))))*(1+#REF!)</f>
        <v>#REF!</v>
      </c>
      <c r="H38" s="9" t="e">
        <f>IF(F38=3,#REF!*3*((Costos!G38/#REF!)^2)*#REF!*Costos!D38*Costos!$B$4,IF(F38=2,#REF!*2*((Costos!G38/#REF!)^2)*#REF!*Costos!D38*Costos!$B$4,IF(F38=1,#REF!*((Costos!G38/#REF!)^2)*#REF!*Costos!D38*Costos!$B$4,"error")))</f>
        <v>#REF!</v>
      </c>
      <c r="I38" s="9" t="e">
        <f>#REF!*#REF!*#REF!*1000</f>
        <v>#REF!</v>
      </c>
      <c r="J38" s="72" t="e">
        <f t="shared" si="0"/>
        <v>#REF!</v>
      </c>
      <c r="K38" s="72" t="e">
        <f>IF(#REF!&gt;57.5,#REF!,IF(#REF!&gt;29.99999999,#REF!,IF(#REF!&gt;0.9999999999,#REF!,IF(#REF!&gt;0.000000001,#REF!,"Error"))))</f>
        <v>#REF!</v>
      </c>
      <c r="L38" s="13" t="e">
        <f>IF(K38&gt;J38,(1+E38*0.04)*#REF!*D38,0)</f>
        <v>#REF!</v>
      </c>
      <c r="M38" s="13" t="e">
        <f>IF(K38&gt;J38,G38^2*#REF!*D38*$B$5,0)</f>
        <v>#REF!</v>
      </c>
    </row>
    <row r="39" spans="2:13" x14ac:dyDescent="0.25">
      <c r="B39" s="2">
        <v>2</v>
      </c>
      <c r="C39" s="2" t="e">
        <f>#REF!</f>
        <v>#REF!</v>
      </c>
      <c r="D39" s="12" t="e">
        <f>IF(B39=1,#REF!,IF(B39=2,#REF!,IF(B39=3,#REF!,IF(B39=4,#REF!,IF(B39=5,#REF!,IF(B39=6,#REF!,IF(B39=7,#REF!,IF(B39=8,#REF!, IF(B39=9,#REF!,IF(B39=10,#REF!,IF(B39=11,#REF!,”Error”)))))))))))</f>
        <v>#REF!</v>
      </c>
      <c r="E39" s="12" t="e">
        <f>IF(#REF!="Si",1,IF(#REF!="No",0))</f>
        <v>#REF!</v>
      </c>
      <c r="F39" s="12" t="e">
        <f>IF(#REF!="Trifásico",3,IF(#REF!="Monofásico trifilar",2,IF(#REF!="Monofásico bifilar",1)))</f>
        <v>#REF!</v>
      </c>
      <c r="G39" s="22" t="e">
        <f>IF(#REF!="Trifásico",(#REF!)/(SQRT(3)*#REF!),IF(#REF!="Monofásico trifilar",(#REF!)/(#REF!),IF(#REF!="Monofásico bifilar",(#REF!)/(#REF!))))*(1+#REF!)</f>
        <v>#REF!</v>
      </c>
      <c r="H39" s="9" t="e">
        <f>IF(F39=3,#REF!*3*((Costos!G39/#REF!)^2)*#REF!*Costos!D39*Costos!$B$4,IF(F39=2,#REF!*2*((Costos!G39/#REF!)^2)*#REF!*Costos!D39*Costos!$B$4,IF(F39=1,#REF!*((Costos!G39/#REF!)^2)*#REF!*Costos!D39*Costos!$B$4,"error")))</f>
        <v>#REF!</v>
      </c>
      <c r="I39" s="9" t="e">
        <f>#REF!*#REF!*#REF!*1000</f>
        <v>#REF!</v>
      </c>
      <c r="J39" s="72" t="e">
        <f t="shared" si="0"/>
        <v>#REF!</v>
      </c>
      <c r="K39" s="72" t="e">
        <f>IF(#REF!&gt;57.5,#REF!,IF(#REF!&gt;29.99999999,#REF!,IF(#REF!&gt;0.9999999999,#REF!,IF(#REF!&gt;0.000000001,#REF!,"Error"))))</f>
        <v>#REF!</v>
      </c>
      <c r="L39" s="13" t="e">
        <f>IF(K39&gt;J39,(1+E39*0.04)*#REF!*D39,0)</f>
        <v>#REF!</v>
      </c>
      <c r="M39" s="13" t="e">
        <f>IF(K39&gt;J39,G39^2*#REF!*D39*$B$5,0)</f>
        <v>#REF!</v>
      </c>
    </row>
    <row r="40" spans="2:13" x14ac:dyDescent="0.25">
      <c r="B40" s="2">
        <v>2</v>
      </c>
      <c r="C40" s="2" t="e">
        <f>#REF!</f>
        <v>#REF!</v>
      </c>
      <c r="D40" s="12" t="e">
        <f>IF(B40=1,#REF!,IF(B40=2,#REF!,IF(B40=3,#REF!,IF(B40=4,#REF!,IF(B40=5,#REF!,IF(B40=6,#REF!,IF(B40=7,#REF!,IF(B40=8,#REF!, IF(B40=9,#REF!,IF(B40=10,#REF!,IF(B40=11,#REF!,”Error”)))))))))))</f>
        <v>#REF!</v>
      </c>
      <c r="E40" s="12" t="e">
        <f>IF(#REF!="Si",1,IF(#REF!="No",0))</f>
        <v>#REF!</v>
      </c>
      <c r="F40" s="12" t="e">
        <f>IF(#REF!="Trifásico",3,IF(#REF!="Monofásico trifilar",2,IF(#REF!="Monofásico bifilar",1)))</f>
        <v>#REF!</v>
      </c>
      <c r="G40" s="22" t="e">
        <f>IF(#REF!="Trifásico",(#REF!)/(SQRT(3)*#REF!),IF(#REF!="Monofásico trifilar",(#REF!)/(#REF!),IF(#REF!="Monofásico bifilar",(#REF!)/(#REF!))))*(1+#REF!)</f>
        <v>#REF!</v>
      </c>
      <c r="H40" s="9" t="e">
        <f>IF(F40=3,#REF!*3*((Costos!G40/#REF!)^2)*#REF!*Costos!D40*Costos!$B$4,IF(F40=2,#REF!*2*((Costos!G40/#REF!)^2)*#REF!*Costos!D40*Costos!$B$4,IF(F40=1,#REF!*((Costos!G40/#REF!)^2)*#REF!*Costos!D40*Costos!$B$4,"error")))</f>
        <v>#REF!</v>
      </c>
      <c r="I40" s="9" t="e">
        <f>#REF!*#REF!*#REF!*1000</f>
        <v>#REF!</v>
      </c>
      <c r="J40" s="72" t="e">
        <f t="shared" si="0"/>
        <v>#REF!</v>
      </c>
      <c r="K40" s="72" t="e">
        <f>IF(#REF!&gt;57.5,#REF!,IF(#REF!&gt;29.99999999,#REF!,IF(#REF!&gt;0.9999999999,#REF!,IF(#REF!&gt;0.000000001,#REF!,"Error"))))</f>
        <v>#REF!</v>
      </c>
      <c r="L40" s="13" t="e">
        <f>IF(K40&gt;J40,(1+E40*0.04)*#REF!*D40,0)</f>
        <v>#REF!</v>
      </c>
      <c r="M40" s="13" t="e">
        <f>IF(K40&gt;J40,G40^2*#REF!*D40*$B$5,0)</f>
        <v>#REF!</v>
      </c>
    </row>
    <row r="41" spans="2:13" x14ac:dyDescent="0.25">
      <c r="B41" s="2">
        <v>2</v>
      </c>
      <c r="C41" s="2" t="e">
        <f>#REF!</f>
        <v>#REF!</v>
      </c>
      <c r="D41" s="12" t="e">
        <f>IF(B41=1,#REF!,IF(B41=2,#REF!,IF(B41=3,#REF!,IF(B41=4,#REF!,IF(B41=5,#REF!,IF(B41=6,#REF!,IF(B41=7,#REF!,IF(B41=8,#REF!, IF(B41=9,#REF!,IF(B41=10,#REF!,IF(B41=11,#REF!,”Error”)))))))))))</f>
        <v>#REF!</v>
      </c>
      <c r="E41" s="12" t="e">
        <f>IF(#REF!="Si",1,IF(#REF!="No",0))</f>
        <v>#REF!</v>
      </c>
      <c r="F41" s="12" t="e">
        <f>IF(#REF!="Trifásico",3,IF(#REF!="Monofásico trifilar",2,IF(#REF!="Monofásico bifilar",1)))</f>
        <v>#REF!</v>
      </c>
      <c r="G41" s="22" t="e">
        <f>IF(#REF!="Trifásico",(#REF!)/(SQRT(3)*#REF!),IF(#REF!="Monofásico trifilar",(#REF!)/(#REF!),IF(#REF!="Monofásico bifilar",(#REF!)/(#REF!))))*(1+#REF!)</f>
        <v>#REF!</v>
      </c>
      <c r="H41" s="9" t="e">
        <f>IF(F41=3,#REF!*3*((Costos!G41/#REF!)^2)*#REF!*Costos!D41*Costos!$B$4,IF(F41=2,#REF!*2*((Costos!G41/#REF!)^2)*#REF!*Costos!D41*Costos!$B$4,IF(F41=1,#REF!*((Costos!G41/#REF!)^2)*#REF!*Costos!D41*Costos!$B$4,"error")))</f>
        <v>#REF!</v>
      </c>
      <c r="I41" s="9" t="e">
        <f>#REF!*#REF!*#REF!*1000</f>
        <v>#REF!</v>
      </c>
      <c r="J41" s="72" t="e">
        <f t="shared" si="0"/>
        <v>#REF!</v>
      </c>
      <c r="K41" s="72" t="e">
        <f>IF(#REF!&gt;57.5,#REF!,IF(#REF!&gt;29.99999999,#REF!,IF(#REF!&gt;0.9999999999,#REF!,IF(#REF!&gt;0.000000001,#REF!,"Error"))))</f>
        <v>#REF!</v>
      </c>
      <c r="L41" s="13" t="e">
        <f>IF(K41&gt;J41,(1+E41*0.04)*#REF!*D41,0)</f>
        <v>#REF!</v>
      </c>
      <c r="M41" s="13" t="e">
        <f>IF(K41&gt;J41,G41^2*#REF!*D41*$B$5,0)</f>
        <v>#REF!</v>
      </c>
    </row>
    <row r="42" spans="2:13" x14ac:dyDescent="0.25">
      <c r="B42" s="2">
        <v>2</v>
      </c>
      <c r="C42" s="2" t="e">
        <f>#REF!</f>
        <v>#REF!</v>
      </c>
      <c r="D42" s="12" t="e">
        <f>IF(B42=1,#REF!,IF(B42=2,#REF!,IF(B42=3,#REF!,IF(B42=4,#REF!,IF(B42=5,#REF!,IF(B42=6,#REF!,IF(B42=7,#REF!,IF(B42=8,#REF!, IF(B42=9,#REF!,IF(B42=10,#REF!,IF(B42=11,#REF!,”Error”)))))))))))</f>
        <v>#REF!</v>
      </c>
      <c r="E42" s="12" t="e">
        <f>IF(#REF!="Si",1,IF(#REF!="No",0))</f>
        <v>#REF!</v>
      </c>
      <c r="F42" s="12" t="e">
        <f>IF(#REF!="Trifásico",3,IF(#REF!="Monofásico trifilar",2,IF(#REF!="Monofásico bifilar",1)))</f>
        <v>#REF!</v>
      </c>
      <c r="G42" s="22" t="e">
        <f>IF(#REF!="Trifásico",(#REF!)/(SQRT(3)*#REF!),IF(#REF!="Monofásico trifilar",(#REF!)/(#REF!),IF(#REF!="Monofásico bifilar",(#REF!)/(#REF!))))*(1+#REF!)</f>
        <v>#REF!</v>
      </c>
      <c r="H42" s="9" t="e">
        <f>IF(F42=3,#REF!*3*((Costos!G42/#REF!)^2)*#REF!*Costos!D42*Costos!$B$4,IF(F42=2,#REF!*2*((Costos!G42/#REF!)^2)*#REF!*Costos!D42*Costos!$B$4,IF(F42=1,#REF!*((Costos!G42/#REF!)^2)*#REF!*Costos!D42*Costos!$B$4,"error")))</f>
        <v>#REF!</v>
      </c>
      <c r="I42" s="9" t="e">
        <f>#REF!*#REF!*#REF!*1000</f>
        <v>#REF!</v>
      </c>
      <c r="J42" s="72" t="e">
        <f t="shared" si="0"/>
        <v>#REF!</v>
      </c>
      <c r="K42" s="72" t="e">
        <f>IF(#REF!&gt;57.5,#REF!,IF(#REF!&gt;29.99999999,#REF!,IF(#REF!&gt;0.9999999999,#REF!,IF(#REF!&gt;0.000000001,#REF!,"Error"))))</f>
        <v>#REF!</v>
      </c>
      <c r="L42" s="13" t="e">
        <f>IF(K42&gt;J42,(1+E42*0.04)*#REF!*D42,0)</f>
        <v>#REF!</v>
      </c>
      <c r="M42" s="13" t="e">
        <f>IF(K42&gt;J42,G42^2*#REF!*D42*$B$5,0)</f>
        <v>#REF!</v>
      </c>
    </row>
    <row r="43" spans="2:13" x14ac:dyDescent="0.25">
      <c r="B43" s="2">
        <v>2</v>
      </c>
      <c r="C43" s="2" t="e">
        <f>#REF!</f>
        <v>#REF!</v>
      </c>
      <c r="D43" s="12" t="e">
        <f>IF(B43=1,#REF!,IF(B43=2,#REF!,IF(B43=3,#REF!,IF(B43=4,#REF!,IF(B43=5,#REF!,IF(B43=6,#REF!,IF(B43=7,#REF!,IF(B43=8,#REF!, IF(B43=9,#REF!,IF(B43=10,#REF!,IF(B43=11,#REF!,”Error”)))))))))))</f>
        <v>#REF!</v>
      </c>
      <c r="E43" s="12" t="e">
        <f>IF(#REF!="Si",1,IF(#REF!="No",0))</f>
        <v>#REF!</v>
      </c>
      <c r="F43" s="12" t="e">
        <f>IF(#REF!="Trifásico",3,IF(#REF!="Monofásico trifilar",2,IF(#REF!="Monofásico bifilar",1)))</f>
        <v>#REF!</v>
      </c>
      <c r="G43" s="22" t="e">
        <f>IF(#REF!="Trifásico",(#REF!)/(SQRT(3)*#REF!),IF(#REF!="Monofásico trifilar",(#REF!)/(#REF!),IF(#REF!="Monofásico bifilar",(#REF!)/(#REF!))))*(1+#REF!)</f>
        <v>#REF!</v>
      </c>
      <c r="H43" s="9" t="e">
        <f>IF(F43=3,#REF!*3*((Costos!G43/#REF!)^2)*#REF!*Costos!D43*Costos!$B$4,IF(F43=2,#REF!*2*((Costos!G43/#REF!)^2)*#REF!*Costos!D43*Costos!$B$4,IF(F43=1,#REF!*((Costos!G43/#REF!)^2)*#REF!*Costos!D43*Costos!$B$4,"error")))</f>
        <v>#REF!</v>
      </c>
      <c r="I43" s="9" t="e">
        <f>#REF!*#REF!*#REF!*1000</f>
        <v>#REF!</v>
      </c>
      <c r="J43" s="72" t="e">
        <f t="shared" si="0"/>
        <v>#REF!</v>
      </c>
      <c r="K43" s="72" t="e">
        <f>IF(#REF!&gt;57.5,#REF!,IF(#REF!&gt;29.99999999,#REF!,IF(#REF!&gt;0.9999999999,#REF!,IF(#REF!&gt;0.000000001,#REF!,"Error"))))</f>
        <v>#REF!</v>
      </c>
      <c r="L43" s="13" t="e">
        <f>IF(K43&gt;J43,(1+E43*0.04)*#REF!*D43,0)</f>
        <v>#REF!</v>
      </c>
      <c r="M43" s="13" t="e">
        <f>IF(K43&gt;J43,G43^2*#REF!*D43*$B$5,0)</f>
        <v>#REF!</v>
      </c>
    </row>
    <row r="44" spans="2:13" x14ac:dyDescent="0.25">
      <c r="B44" s="2">
        <v>2</v>
      </c>
      <c r="C44" s="2" t="e">
        <f>#REF!</f>
        <v>#REF!</v>
      </c>
      <c r="D44" s="12" t="e">
        <f>IF(B44=1,#REF!,IF(B44=2,#REF!,IF(B44=3,#REF!,IF(B44=4,#REF!,IF(B44=5,#REF!,IF(B44=6,#REF!,IF(B44=7,#REF!,IF(B44=8,#REF!, IF(B44=9,#REF!,IF(B44=10,#REF!,IF(B44=11,#REF!,”Error”)))))))))))</f>
        <v>#REF!</v>
      </c>
      <c r="E44" s="12" t="e">
        <f>IF(#REF!="Si",1,IF(#REF!="No",0))</f>
        <v>#REF!</v>
      </c>
      <c r="F44" s="12" t="e">
        <f>IF(#REF!="Trifásico",3,IF(#REF!="Monofásico trifilar",2,IF(#REF!="Monofásico bifilar",1)))</f>
        <v>#REF!</v>
      </c>
      <c r="G44" s="22" t="e">
        <f>IF(#REF!="Trifásico",(#REF!)/(SQRT(3)*#REF!),IF(#REF!="Monofásico trifilar",(#REF!)/(#REF!),IF(#REF!="Monofásico bifilar",(#REF!)/(#REF!))))*(1+#REF!)</f>
        <v>#REF!</v>
      </c>
      <c r="H44" s="9" t="e">
        <f>IF(F44=3,#REF!*3*((Costos!G44/#REF!)^2)*#REF!*Costos!D44*Costos!$B$4,IF(F44=2,#REF!*2*((Costos!G44/#REF!)^2)*#REF!*Costos!D44*Costos!$B$4,IF(F44=1,#REF!*((Costos!G44/#REF!)^2)*#REF!*Costos!D44*Costos!$B$4,"error")))</f>
        <v>#REF!</v>
      </c>
      <c r="I44" s="9" t="e">
        <f>#REF!*#REF!*#REF!*1000</f>
        <v>#REF!</v>
      </c>
      <c r="J44" s="72" t="e">
        <f t="shared" si="0"/>
        <v>#REF!</v>
      </c>
      <c r="K44" s="72" t="e">
        <f>IF(#REF!&gt;57.5,#REF!,IF(#REF!&gt;29.99999999,#REF!,IF(#REF!&gt;0.9999999999,#REF!,IF(#REF!&gt;0.000000001,#REF!,"Error"))))</f>
        <v>#REF!</v>
      </c>
      <c r="L44" s="13" t="e">
        <f>IF(K44&gt;J44,(1+E44*0.04)*#REF!*D44,0)</f>
        <v>#REF!</v>
      </c>
      <c r="M44" s="13" t="e">
        <f>IF(K44&gt;J44,G44^2*#REF!*D44*$B$5,0)</f>
        <v>#REF!</v>
      </c>
    </row>
    <row r="45" spans="2:13" x14ac:dyDescent="0.25">
      <c r="B45" s="2">
        <v>2</v>
      </c>
      <c r="C45" s="2" t="e">
        <f>#REF!</f>
        <v>#REF!</v>
      </c>
      <c r="D45" s="12" t="e">
        <f>IF(B45=1,#REF!,IF(B45=2,#REF!,IF(B45=3,#REF!,IF(B45=4,#REF!,IF(B45=5,#REF!,IF(B45=6,#REF!,IF(B45=7,#REF!,IF(B45=8,#REF!, IF(B45=9,#REF!,IF(B45=10,#REF!,IF(B45=11,#REF!,”Error”)))))))))))</f>
        <v>#REF!</v>
      </c>
      <c r="E45" s="12" t="e">
        <f>IF(#REF!="Si",1,IF(#REF!="No",0))</f>
        <v>#REF!</v>
      </c>
      <c r="F45" s="12" t="e">
        <f>IF(#REF!="Trifásico",3,IF(#REF!="Monofásico trifilar",2,IF(#REF!="Monofásico bifilar",1)))</f>
        <v>#REF!</v>
      </c>
      <c r="G45" s="22" t="e">
        <f>IF(#REF!="Trifásico",(#REF!)/(SQRT(3)*#REF!),IF(#REF!="Monofásico trifilar",(#REF!)/(#REF!),IF(#REF!="Monofásico bifilar",(#REF!)/(#REF!))))*(1+#REF!)</f>
        <v>#REF!</v>
      </c>
      <c r="H45" s="9" t="e">
        <f>IF(F45=3,#REF!*3*((Costos!G45/#REF!)^2)*#REF!*Costos!D45*Costos!$B$4,IF(F45=2,#REF!*2*((Costos!G45/#REF!)^2)*#REF!*Costos!D45*Costos!$B$4,IF(F45=1,#REF!*((Costos!G45/#REF!)^2)*#REF!*Costos!D45*Costos!$B$4,"error")))</f>
        <v>#REF!</v>
      </c>
      <c r="I45" s="9" t="e">
        <f>#REF!*#REF!*#REF!*1000</f>
        <v>#REF!</v>
      </c>
      <c r="J45" s="72" t="e">
        <f t="shared" si="0"/>
        <v>#REF!</v>
      </c>
      <c r="K45" s="72" t="e">
        <f>IF(#REF!&gt;57.5,#REF!,IF(#REF!&gt;29.99999999,#REF!,IF(#REF!&gt;0.9999999999,#REF!,IF(#REF!&gt;0.000000001,#REF!,"Error"))))</f>
        <v>#REF!</v>
      </c>
      <c r="L45" s="13" t="e">
        <f>IF(K45&gt;J45,(1+E45*0.04)*#REF!*D45,0)</f>
        <v>#REF!</v>
      </c>
      <c r="M45" s="13" t="e">
        <f>IF(K45&gt;J45,G45^2*#REF!*D45*$B$5,0)</f>
        <v>#REF!</v>
      </c>
    </row>
    <row r="46" spans="2:13" x14ac:dyDescent="0.25">
      <c r="B46" s="2">
        <v>2</v>
      </c>
      <c r="C46" s="2" t="e">
        <f>#REF!</f>
        <v>#REF!</v>
      </c>
      <c r="D46" s="12" t="e">
        <f>IF(B46=1,#REF!,IF(B46=2,#REF!,IF(B46=3,#REF!,IF(B46=4,#REF!,IF(B46=5,#REF!,IF(B46=6,#REF!,IF(B46=7,#REF!,IF(B46=8,#REF!, IF(B46=9,#REF!,IF(B46=10,#REF!,IF(B46=11,#REF!,”Error”)))))))))))</f>
        <v>#REF!</v>
      </c>
      <c r="E46" s="12" t="e">
        <f>IF(#REF!="Si",1,IF(#REF!="No",0))</f>
        <v>#REF!</v>
      </c>
      <c r="F46" s="12" t="e">
        <f>IF(#REF!="Trifásico",3,IF(#REF!="Monofásico trifilar",2,IF(#REF!="Monofásico bifilar",1)))</f>
        <v>#REF!</v>
      </c>
      <c r="G46" s="22" t="e">
        <f>IF(#REF!="Trifásico",(#REF!)/(SQRT(3)*#REF!),IF(#REF!="Monofásico trifilar",(#REF!)/(#REF!),IF(#REF!="Monofásico bifilar",(#REF!)/(#REF!))))*(1+#REF!)</f>
        <v>#REF!</v>
      </c>
      <c r="H46" s="9" t="e">
        <f>IF(F46=3,#REF!*3*((Costos!G46/#REF!)^2)*#REF!*Costos!D46*Costos!$B$4,IF(F46=2,#REF!*2*((Costos!G46/#REF!)^2)*#REF!*Costos!D46*Costos!$B$4,IF(F46=1,#REF!*((Costos!G46/#REF!)^2)*#REF!*Costos!D46*Costos!$B$4,"error")))</f>
        <v>#REF!</v>
      </c>
      <c r="I46" s="9" t="e">
        <f>#REF!*#REF!*#REF!*1000</f>
        <v>#REF!</v>
      </c>
      <c r="J46" s="72" t="e">
        <f t="shared" si="0"/>
        <v>#REF!</v>
      </c>
      <c r="K46" s="72" t="e">
        <f>IF(#REF!&gt;57.5,#REF!,IF(#REF!&gt;29.99999999,#REF!,IF(#REF!&gt;0.9999999999,#REF!,IF(#REF!&gt;0.000000001,#REF!,"Error"))))</f>
        <v>#REF!</v>
      </c>
      <c r="L46" s="13" t="e">
        <f>IF(K46&gt;J46,(1+E46*0.04)*#REF!*D46,0)</f>
        <v>#REF!</v>
      </c>
      <c r="M46" s="13" t="e">
        <f>IF(K46&gt;J46,G46^2*#REF!*D46*$B$5,0)</f>
        <v>#REF!</v>
      </c>
    </row>
    <row r="47" spans="2:13" x14ac:dyDescent="0.25">
      <c r="B47" s="2">
        <v>2</v>
      </c>
      <c r="C47" s="2" t="e">
        <f>#REF!</f>
        <v>#REF!</v>
      </c>
      <c r="D47" s="12" t="e">
        <f>IF(B47=1,#REF!,IF(B47=2,#REF!,IF(B47=3,#REF!,IF(B47=4,#REF!,IF(B47=5,#REF!,IF(B47=6,#REF!,IF(B47=7,#REF!,IF(B47=8,#REF!, IF(B47=9,#REF!,IF(B47=10,#REF!,IF(B47=11,#REF!,”Error”)))))))))))</f>
        <v>#REF!</v>
      </c>
      <c r="E47" s="12" t="e">
        <f>IF(#REF!="Si",1,IF(#REF!="No",0))</f>
        <v>#REF!</v>
      </c>
      <c r="F47" s="12" t="e">
        <f>IF(#REF!="Trifásico",3,IF(#REF!="Monofásico trifilar",2,IF(#REF!="Monofásico bifilar",1)))</f>
        <v>#REF!</v>
      </c>
      <c r="G47" s="22" t="e">
        <f>IF(#REF!="Trifásico",(#REF!)/(SQRT(3)*#REF!),IF(#REF!="Monofásico trifilar",(#REF!)/(#REF!),IF(#REF!="Monofásico bifilar",(#REF!)/(#REF!))))*(1+#REF!)</f>
        <v>#REF!</v>
      </c>
      <c r="H47" s="9" t="e">
        <f>IF(F47=3,#REF!*3*((Costos!G47/#REF!)^2)*#REF!*Costos!D47*Costos!$B$4,IF(F47=2,#REF!*2*((Costos!G47/#REF!)^2)*#REF!*Costos!D47*Costos!$B$4,IF(F47=1,#REF!*((Costos!G47/#REF!)^2)*#REF!*Costos!D47*Costos!$B$4,"error")))</f>
        <v>#REF!</v>
      </c>
      <c r="I47" s="9" t="e">
        <f>#REF!*#REF!*#REF!*1000</f>
        <v>#REF!</v>
      </c>
      <c r="J47" s="72" t="e">
        <f t="shared" si="0"/>
        <v>#REF!</v>
      </c>
      <c r="K47" s="72" t="e">
        <f>IF(#REF!&gt;57.5,#REF!,IF(#REF!&gt;29.99999999,#REF!,IF(#REF!&gt;0.9999999999,#REF!,IF(#REF!&gt;0.000000001,#REF!,"Error"))))</f>
        <v>#REF!</v>
      </c>
      <c r="L47" s="13" t="e">
        <f>IF(K47&gt;J47,(1+E47*0.04)*#REF!*D47,0)</f>
        <v>#REF!</v>
      </c>
      <c r="M47" s="13" t="e">
        <f>IF(K47&gt;J47,G47^2*#REF!*D47*$B$5,0)</f>
        <v>#REF!</v>
      </c>
    </row>
    <row r="48" spans="2:13" x14ac:dyDescent="0.25">
      <c r="B48" s="2">
        <v>2</v>
      </c>
      <c r="C48" s="2" t="e">
        <f>#REF!</f>
        <v>#REF!</v>
      </c>
      <c r="D48" s="12" t="e">
        <f>IF(B48=1,#REF!,IF(B48=2,#REF!,IF(B48=3,#REF!,IF(B48=4,#REF!,IF(B48=5,#REF!,IF(B48=6,#REF!,IF(B48=7,#REF!,IF(B48=8,#REF!, IF(B48=9,#REF!,IF(B48=10,#REF!,IF(B48=11,#REF!,”Error”)))))))))))</f>
        <v>#REF!</v>
      </c>
      <c r="E48" s="12" t="e">
        <f>IF(#REF!="Si",1,IF(#REF!="No",0))</f>
        <v>#REF!</v>
      </c>
      <c r="F48" s="12" t="e">
        <f>IF(#REF!="Trifásico",3,IF(#REF!="Monofásico trifilar",2,IF(#REF!="Monofásico bifilar",1)))</f>
        <v>#REF!</v>
      </c>
      <c r="G48" s="22" t="e">
        <f>IF(#REF!="Trifásico",(#REF!)/(SQRT(3)*#REF!),IF(#REF!="Monofásico trifilar",(#REF!)/(#REF!),IF(#REF!="Monofásico bifilar",(#REF!)/(#REF!))))*(1+#REF!)</f>
        <v>#REF!</v>
      </c>
      <c r="H48" s="9" t="e">
        <f>IF(F48=3,#REF!*3*((Costos!G48/#REF!)^2)*#REF!*Costos!D48*Costos!$B$4,IF(F48=2,#REF!*2*((Costos!G48/#REF!)^2)*#REF!*Costos!D48*Costos!$B$4,IF(F48=1,#REF!*((Costos!G48/#REF!)^2)*#REF!*Costos!D48*Costos!$B$4,"error")))</f>
        <v>#REF!</v>
      </c>
      <c r="I48" s="9" t="e">
        <f>#REF!*#REF!*#REF!*1000</f>
        <v>#REF!</v>
      </c>
      <c r="J48" s="72" t="e">
        <f t="shared" si="0"/>
        <v>#REF!</v>
      </c>
      <c r="K48" s="72" t="e">
        <f>IF(#REF!&gt;57.5,#REF!,IF(#REF!&gt;29.99999999,#REF!,IF(#REF!&gt;0.9999999999,#REF!,IF(#REF!&gt;0.000000001,#REF!,"Error"))))</f>
        <v>#REF!</v>
      </c>
      <c r="L48" s="13" t="e">
        <f>IF(K48&gt;J48,(1+E48*0.04)*#REF!*D48,0)</f>
        <v>#REF!</v>
      </c>
      <c r="M48" s="13" t="e">
        <f>IF(K48&gt;J48,G48^2*#REF!*D48*$B$5,0)</f>
        <v>#REF!</v>
      </c>
    </row>
    <row r="49" spans="2:13" x14ac:dyDescent="0.25">
      <c r="B49" s="2">
        <v>2</v>
      </c>
      <c r="C49" s="2" t="e">
        <f>#REF!</f>
        <v>#REF!</v>
      </c>
      <c r="D49" s="12" t="e">
        <f>IF(B49=1,#REF!,IF(B49=2,#REF!,IF(B49=3,#REF!,IF(B49=4,#REF!,IF(B49=5,#REF!,IF(B49=6,#REF!,IF(B49=7,#REF!,IF(B49=8,#REF!, IF(B49=9,#REF!,IF(B49=10,#REF!,IF(B49=11,#REF!,”Error”)))))))))))</f>
        <v>#REF!</v>
      </c>
      <c r="E49" s="12" t="e">
        <f>IF(#REF!="Si",1,IF(#REF!="No",0))</f>
        <v>#REF!</v>
      </c>
      <c r="F49" s="12" t="e">
        <f>IF(#REF!="Trifásico",3,IF(#REF!="Monofásico trifilar",2,IF(#REF!="Monofásico bifilar",1)))</f>
        <v>#REF!</v>
      </c>
      <c r="G49" s="22" t="e">
        <f>IF(#REF!="Trifásico",(#REF!)/(SQRT(3)*#REF!),IF(#REF!="Monofásico trifilar",(#REF!)/(#REF!),IF(#REF!="Monofásico bifilar",(#REF!)/(#REF!))))*(1+#REF!)</f>
        <v>#REF!</v>
      </c>
      <c r="H49" s="9" t="e">
        <f>IF(F49=3,#REF!*3*((Costos!G49/#REF!)^2)*#REF!*Costos!D49*Costos!$B$4,IF(F49=2,#REF!*2*((Costos!G49/#REF!)^2)*#REF!*Costos!D49*Costos!$B$4,IF(F49=1,#REF!*((Costos!G49/#REF!)^2)*#REF!*Costos!D49*Costos!$B$4,"error")))</f>
        <v>#REF!</v>
      </c>
      <c r="I49" s="9" t="e">
        <f>#REF!*#REF!*#REF!*1000</f>
        <v>#REF!</v>
      </c>
      <c r="J49" s="72" t="e">
        <f t="shared" si="0"/>
        <v>#REF!</v>
      </c>
      <c r="K49" s="72" t="e">
        <f>IF(#REF!&gt;57.5,#REF!,IF(#REF!&gt;29.99999999,#REF!,IF(#REF!&gt;0.9999999999,#REF!,IF(#REF!&gt;0.000000001,#REF!,"Error"))))</f>
        <v>#REF!</v>
      </c>
      <c r="L49" s="13" t="e">
        <f>IF(K49&gt;J49,(1+E49*0.04)*#REF!*D49,0)</f>
        <v>#REF!</v>
      </c>
      <c r="M49" s="13" t="e">
        <f>IF(K49&gt;J49,G49^2*#REF!*D49*$B$5,0)</f>
        <v>#REF!</v>
      </c>
    </row>
    <row r="50" spans="2:13" x14ac:dyDescent="0.25">
      <c r="B50" s="2">
        <v>2</v>
      </c>
      <c r="C50" s="2" t="e">
        <f>#REF!</f>
        <v>#REF!</v>
      </c>
      <c r="D50" s="12" t="e">
        <f>IF(B50=1,#REF!,IF(B50=2,#REF!,IF(B50=3,#REF!,IF(B50=4,#REF!,IF(B50=5,#REF!,IF(B50=6,#REF!,IF(B50=7,#REF!,IF(B50=8,#REF!, IF(B50=9,#REF!,IF(B50=10,#REF!,IF(B50=11,#REF!,”Error”)))))))))))</f>
        <v>#REF!</v>
      </c>
      <c r="E50" s="12" t="e">
        <f>IF(#REF!="Si",1,IF(#REF!="No",0))</f>
        <v>#REF!</v>
      </c>
      <c r="F50" s="12" t="e">
        <f>IF(#REF!="Trifásico",3,IF(#REF!="Monofásico trifilar",2,IF(#REF!="Monofásico bifilar",1)))</f>
        <v>#REF!</v>
      </c>
      <c r="G50" s="22" t="e">
        <f>IF(#REF!="Trifásico",(#REF!)/(SQRT(3)*#REF!),IF(#REF!="Monofásico trifilar",(#REF!)/(#REF!),IF(#REF!="Monofásico bifilar",(#REF!)/(#REF!))))*(1+#REF!)</f>
        <v>#REF!</v>
      </c>
      <c r="H50" s="9" t="e">
        <f>IF(F50=3,#REF!*3*((Costos!G50/#REF!)^2)*#REF!*Costos!D50*Costos!$B$4,IF(F50=2,#REF!*2*((Costos!G50/#REF!)^2)*#REF!*Costos!D50*Costos!$B$4,IF(F50=1,#REF!*((Costos!G50/#REF!)^2)*#REF!*Costos!D50*Costos!$B$4,"error")))</f>
        <v>#REF!</v>
      </c>
      <c r="I50" s="9" t="e">
        <f>#REF!*#REF!*#REF!*1000</f>
        <v>#REF!</v>
      </c>
      <c r="J50" s="72" t="e">
        <f t="shared" si="0"/>
        <v>#REF!</v>
      </c>
      <c r="K50" s="72" t="e">
        <f>IF(#REF!&gt;57.5,#REF!,IF(#REF!&gt;29.99999999,#REF!,IF(#REF!&gt;0.9999999999,#REF!,IF(#REF!&gt;0.000000001,#REF!,"Error"))))</f>
        <v>#REF!</v>
      </c>
      <c r="L50" s="13" t="e">
        <f>IF(K50&gt;J50,(1+E50*0.04)*#REF!*D50,0)</f>
        <v>#REF!</v>
      </c>
      <c r="M50" s="13" t="e">
        <f>IF(K50&gt;J50,G50^2*#REF!*D50*$B$5,0)</f>
        <v>#REF!</v>
      </c>
    </row>
    <row r="51" spans="2:13" x14ac:dyDescent="0.25">
      <c r="B51" s="2">
        <v>2</v>
      </c>
      <c r="C51" s="2" t="e">
        <f>#REF!</f>
        <v>#REF!</v>
      </c>
      <c r="D51" s="12" t="e">
        <f>IF(B51=1,#REF!,IF(B51=2,#REF!,IF(B51=3,#REF!,IF(B51=4,#REF!,IF(B51=5,#REF!,IF(B51=6,#REF!,IF(B51=7,#REF!,IF(B51=8,#REF!, IF(B51=9,#REF!,IF(B51=10,#REF!,IF(B51=11,#REF!,”Error”)))))))))))</f>
        <v>#REF!</v>
      </c>
      <c r="E51" s="12" t="e">
        <f>IF(#REF!="Si",1,IF(#REF!="No",0))</f>
        <v>#REF!</v>
      </c>
      <c r="F51" s="12" t="e">
        <f>IF(#REF!="Trifásico",3,IF(#REF!="Monofásico trifilar",2,IF(#REF!="Monofásico bifilar",1)))</f>
        <v>#REF!</v>
      </c>
      <c r="G51" s="22" t="e">
        <f>IF(#REF!="Trifásico",(#REF!)/(SQRT(3)*#REF!),IF(#REF!="Monofásico trifilar",(#REF!)/(#REF!),IF(#REF!="Monofásico bifilar",(#REF!)/(#REF!))))*(1+#REF!)</f>
        <v>#REF!</v>
      </c>
      <c r="H51" s="9" t="e">
        <f>IF(F51=3,#REF!*3*((Costos!G51/#REF!)^2)*#REF!*Costos!D51*Costos!$B$4,IF(F51=2,#REF!*2*((Costos!G51/#REF!)^2)*#REF!*Costos!D51*Costos!$B$4,IF(F51=1,#REF!*((Costos!G51/#REF!)^2)*#REF!*Costos!D51*Costos!$B$4,"error")))</f>
        <v>#REF!</v>
      </c>
      <c r="I51" s="9" t="e">
        <f>#REF!*#REF!*#REF!*1000</f>
        <v>#REF!</v>
      </c>
      <c r="J51" s="72" t="e">
        <f t="shared" si="0"/>
        <v>#REF!</v>
      </c>
      <c r="K51" s="72" t="e">
        <f>IF(#REF!&gt;57.5,#REF!,IF(#REF!&gt;29.99999999,#REF!,IF(#REF!&gt;0.9999999999,#REF!,IF(#REF!&gt;0.000000001,#REF!,"Error"))))</f>
        <v>#REF!</v>
      </c>
      <c r="L51" s="13" t="e">
        <f>IF(K51&gt;J51,(1+E51*0.04)*#REF!*D51,0)</f>
        <v>#REF!</v>
      </c>
      <c r="M51" s="13" t="e">
        <f>IF(K51&gt;J51,G51^2*#REF!*D51*$B$5,0)</f>
        <v>#REF!</v>
      </c>
    </row>
    <row r="52" spans="2:13" x14ac:dyDescent="0.25">
      <c r="B52" s="2">
        <v>2</v>
      </c>
      <c r="C52" s="2" t="e">
        <f>#REF!</f>
        <v>#REF!</v>
      </c>
      <c r="D52" s="12" t="e">
        <f>IF(B52=1,#REF!,IF(B52=2,#REF!,IF(B52=3,#REF!,IF(B52=4,#REF!,IF(B52=5,#REF!,IF(B52=6,#REF!,IF(B52=7,#REF!,IF(B52=8,#REF!, IF(B52=9,#REF!,IF(B52=10,#REF!,IF(B52=11,#REF!,”Error”)))))))))))</f>
        <v>#REF!</v>
      </c>
      <c r="E52" s="12" t="e">
        <f>IF(#REF!="Si",1,IF(#REF!="No",0))</f>
        <v>#REF!</v>
      </c>
      <c r="F52" s="12" t="e">
        <f>IF(#REF!="Trifásico",3,IF(#REF!="Monofásico trifilar",2,IF(#REF!="Monofásico bifilar",1)))</f>
        <v>#REF!</v>
      </c>
      <c r="G52" s="22" t="e">
        <f>IF(#REF!="Trifásico",(#REF!)/(SQRT(3)*#REF!),IF(#REF!="Monofásico trifilar",(#REF!)/(#REF!),IF(#REF!="Monofásico bifilar",(#REF!)/(#REF!))))*(1+#REF!)</f>
        <v>#REF!</v>
      </c>
      <c r="H52" s="9" t="e">
        <f>IF(F52=3,#REF!*3*((Costos!G52/#REF!)^2)*#REF!*Costos!D52*Costos!$B$4,IF(F52=2,#REF!*2*((Costos!G52/#REF!)^2)*#REF!*Costos!D52*Costos!$B$4,IF(F52=1,#REF!*((Costos!G52/#REF!)^2)*#REF!*Costos!D52*Costos!$B$4,"error")))</f>
        <v>#REF!</v>
      </c>
      <c r="I52" s="9" t="e">
        <f>#REF!*#REF!*#REF!*1000</f>
        <v>#REF!</v>
      </c>
      <c r="J52" s="72" t="e">
        <f t="shared" si="0"/>
        <v>#REF!</v>
      </c>
      <c r="K52" s="72" t="e">
        <f>IF(#REF!&gt;57.5,#REF!,IF(#REF!&gt;29.99999999,#REF!,IF(#REF!&gt;0.9999999999,#REF!,IF(#REF!&gt;0.000000001,#REF!,"Error"))))</f>
        <v>#REF!</v>
      </c>
      <c r="L52" s="13" t="e">
        <f>IF(K52&gt;J52,(1+E52*0.04)*#REF!*D52,0)</f>
        <v>#REF!</v>
      </c>
      <c r="M52" s="13" t="e">
        <f>IF(K52&gt;J52,G52^2*#REF!*D52*$B$5,0)</f>
        <v>#REF!</v>
      </c>
    </row>
    <row r="53" spans="2:13" x14ac:dyDescent="0.25">
      <c r="B53" s="2">
        <v>2</v>
      </c>
      <c r="C53" s="2" t="e">
        <f>#REF!</f>
        <v>#REF!</v>
      </c>
      <c r="D53" s="12" t="e">
        <f>IF(B53=1,#REF!,IF(B53=2,#REF!,IF(B53=3,#REF!,IF(B53=4,#REF!,IF(B53=5,#REF!,IF(B53=6,#REF!,IF(B53=7,#REF!,IF(B53=8,#REF!, IF(B53=9,#REF!,IF(B53=10,#REF!,IF(B53=11,#REF!,”Error”)))))))))))</f>
        <v>#REF!</v>
      </c>
      <c r="E53" s="12" t="e">
        <f>IF(#REF!="Si",1,IF(#REF!="No",0))</f>
        <v>#REF!</v>
      </c>
      <c r="F53" s="12" t="e">
        <f>IF(#REF!="Trifásico",3,IF(#REF!="Monofásico trifilar",2,IF(#REF!="Monofásico bifilar",1)))</f>
        <v>#REF!</v>
      </c>
      <c r="G53" s="22" t="e">
        <f>IF(#REF!="Trifásico",(#REF!)/(SQRT(3)*#REF!),IF(#REF!="Monofásico trifilar",(#REF!)/(#REF!),IF(#REF!="Monofásico bifilar",(#REF!)/(#REF!))))*(1+#REF!)</f>
        <v>#REF!</v>
      </c>
      <c r="H53" s="9" t="e">
        <f>IF(F53=3,#REF!*3*((Costos!G53/#REF!)^2)*#REF!*Costos!D53*Costos!$B$4,IF(F53=2,#REF!*2*((Costos!G53/#REF!)^2)*#REF!*Costos!D53*Costos!$B$4,IF(F53=1,#REF!*((Costos!G53/#REF!)^2)*#REF!*Costos!D53*Costos!$B$4,"error")))</f>
        <v>#REF!</v>
      </c>
      <c r="I53" s="9" t="e">
        <f>#REF!*#REF!*#REF!*1000</f>
        <v>#REF!</v>
      </c>
      <c r="J53" s="72" t="e">
        <f t="shared" si="0"/>
        <v>#REF!</v>
      </c>
      <c r="K53" s="72" t="e">
        <f>IF(#REF!&gt;57.5,#REF!,IF(#REF!&gt;29.99999999,#REF!,IF(#REF!&gt;0.9999999999,#REF!,IF(#REF!&gt;0.000000001,#REF!,"Error"))))</f>
        <v>#REF!</v>
      </c>
      <c r="L53" s="13" t="e">
        <f>IF(K53&gt;J53,(1+E53*0.04)*#REF!*D53,0)</f>
        <v>#REF!</v>
      </c>
      <c r="M53" s="13" t="e">
        <f>IF(K53&gt;J53,G53^2*#REF!*D53*$B$5,0)</f>
        <v>#REF!</v>
      </c>
    </row>
    <row r="54" spans="2:13" x14ac:dyDescent="0.25">
      <c r="B54" s="2">
        <v>3</v>
      </c>
      <c r="C54" s="2" t="e">
        <f>#REF!</f>
        <v>#REF!</v>
      </c>
      <c r="D54" s="12" t="e">
        <f>IF(B54=1,#REF!,IF(B54=2,#REF!,IF(B54=3,#REF!,IF(B54=4,#REF!,IF(B54=5,#REF!,IF(B54=6,#REF!,IF(B54=7,#REF!,IF(B54=8,#REF!, IF(B54=9,#REF!,IF(B54=10,#REF!,IF(B54=11,#REF!,”Error”)))))))))))</f>
        <v>#REF!</v>
      </c>
      <c r="E54" s="12" t="e">
        <f>IF(#REF!="Si",1,IF(#REF!="No",0))</f>
        <v>#REF!</v>
      </c>
      <c r="F54" s="12" t="e">
        <f>IF(#REF!="Trifásico",3,IF(#REF!="Monofásico trifilar",2,IF(#REF!="Monofásico bifilar",1)))</f>
        <v>#REF!</v>
      </c>
      <c r="G54" s="22" t="e">
        <f>IF(#REF!="Trifásico",(#REF!)/(SQRT(3)*#REF!),IF(#REF!="Monofásico trifilar",(#REF!)/(#REF!),IF(#REF!="Monofásico bifilar",(#REF!)/(#REF!))))*(1+#REF!)</f>
        <v>#REF!</v>
      </c>
      <c r="H54" s="9" t="e">
        <f>IF(F54=3,#REF!*3*((Costos!G54/#REF!)^2)*#REF!*Costos!D54*Costos!$B$4,IF(F54=2,#REF!*2*((Costos!G54/#REF!)^2)*#REF!*Costos!D54*Costos!$B$4,IF(F54=1,#REF!*((Costos!G54/#REF!)^2)*#REF!*Costos!D54*Costos!$B$4,"error")))</f>
        <v>#REF!</v>
      </c>
      <c r="I54" s="9" t="e">
        <f>#REF!*#REF!*#REF!*1000</f>
        <v>#REF!</v>
      </c>
      <c r="J54" s="72" t="e">
        <f t="shared" si="0"/>
        <v>#REF!</v>
      </c>
      <c r="K54" s="72" t="e">
        <f>IF(#REF!&gt;57.5,#REF!,IF(#REF!&gt;29.99999999,#REF!,IF(#REF!&gt;0.9999999999,#REF!,IF(#REF!&gt;0.000000001,#REF!,"Error"))))</f>
        <v>#REF!</v>
      </c>
      <c r="L54" s="13" t="e">
        <f>IF(K54&gt;J54,(1+E54*0.04)*#REF!*D54,0)</f>
        <v>#REF!</v>
      </c>
      <c r="M54" s="13" t="e">
        <f>IF(K54&gt;J54,G54^2*#REF!*D54*$B$5,0)</f>
        <v>#REF!</v>
      </c>
    </row>
    <row r="55" spans="2:13" x14ac:dyDescent="0.25">
      <c r="B55" s="2">
        <v>3</v>
      </c>
      <c r="C55" s="2" t="e">
        <f>#REF!</f>
        <v>#REF!</v>
      </c>
      <c r="D55" s="12" t="e">
        <f>IF(B55=1,#REF!,IF(B55=2,#REF!,IF(B55=3,#REF!,IF(B55=4,#REF!,IF(B55=5,#REF!,IF(B55=6,#REF!,IF(B55=7,#REF!,IF(B55=8,#REF!, IF(B55=9,#REF!,IF(B55=10,#REF!,IF(B55=11,#REF!,”Error”)))))))))))</f>
        <v>#REF!</v>
      </c>
      <c r="E55" s="12" t="e">
        <f>IF(#REF!="Si",1,IF(#REF!="No",0))</f>
        <v>#REF!</v>
      </c>
      <c r="F55" s="12" t="e">
        <f>IF(#REF!="Trifásico",3,IF(#REF!="Monofásico trifilar",2,IF(#REF!="Monofásico bifilar",1)))</f>
        <v>#REF!</v>
      </c>
      <c r="G55" s="22" t="e">
        <f>IF(#REF!="Trifásico",(#REF!)/(SQRT(3)*#REF!),IF(#REF!="Monofásico trifilar",(#REF!)/(#REF!),IF(#REF!="Monofásico bifilar",(#REF!)/(#REF!))))*(1+#REF!)</f>
        <v>#REF!</v>
      </c>
      <c r="H55" s="9" t="e">
        <f>IF(F55=3,#REF!*3*((Costos!G55/#REF!)^2)*#REF!*Costos!D55*Costos!$B$4,IF(F55=2,#REF!*2*((Costos!G55/#REF!)^2)*#REF!*Costos!D55*Costos!$B$4,IF(F55=1,#REF!*((Costos!G55/#REF!)^2)*#REF!*Costos!D55*Costos!$B$4,"error")))</f>
        <v>#REF!</v>
      </c>
      <c r="I55" s="9" t="e">
        <f>#REF!*#REF!*#REF!*1000</f>
        <v>#REF!</v>
      </c>
      <c r="J55" s="72" t="e">
        <f t="shared" si="0"/>
        <v>#REF!</v>
      </c>
      <c r="K55" s="72" t="e">
        <f>IF(#REF!&gt;57.5,#REF!,IF(#REF!&gt;29.99999999,#REF!,IF(#REF!&gt;0.9999999999,#REF!,IF(#REF!&gt;0.000000001,#REF!,"Error"))))</f>
        <v>#REF!</v>
      </c>
      <c r="L55" s="13" t="e">
        <f>IF(K55&gt;J55,(1+E55*0.04)*#REF!*D55,0)</f>
        <v>#REF!</v>
      </c>
      <c r="M55" s="13" t="e">
        <f>IF(K55&gt;J55,G55^2*#REF!*D55*$B$5,0)</f>
        <v>#REF!</v>
      </c>
    </row>
    <row r="56" spans="2:13" x14ac:dyDescent="0.25">
      <c r="B56" s="2">
        <v>3</v>
      </c>
      <c r="C56" s="2" t="e">
        <f>#REF!</f>
        <v>#REF!</v>
      </c>
      <c r="D56" s="12" t="e">
        <f>IF(B56=1,#REF!,IF(B56=2,#REF!,IF(B56=3,#REF!,IF(B56=4,#REF!,IF(B56=5,#REF!,IF(B56=6,#REF!,IF(B56=7,#REF!,IF(B56=8,#REF!, IF(B56=9,#REF!,IF(B56=10,#REF!,IF(B56=11,#REF!,”Error”)))))))))))</f>
        <v>#REF!</v>
      </c>
      <c r="E56" s="12" t="e">
        <f>IF(#REF!="Si",1,IF(#REF!="No",0))</f>
        <v>#REF!</v>
      </c>
      <c r="F56" s="12" t="e">
        <f>IF(#REF!="Trifásico",3,IF(#REF!="Monofásico trifilar",2,IF(#REF!="Monofásico bifilar",1)))</f>
        <v>#REF!</v>
      </c>
      <c r="G56" s="22" t="e">
        <f>IF(#REF!="Trifásico",(#REF!)/(SQRT(3)*#REF!),IF(#REF!="Monofásico trifilar",(#REF!)/(#REF!),IF(#REF!="Monofásico bifilar",(#REF!)/(#REF!))))*(1+#REF!)</f>
        <v>#REF!</v>
      </c>
      <c r="H56" s="9" t="e">
        <f>IF(F56=3,#REF!*3*((Costos!G56/#REF!)^2)*#REF!*Costos!D56*Costos!$B$4,IF(F56=2,#REF!*2*((Costos!G56/#REF!)^2)*#REF!*Costos!D56*Costos!$B$4,IF(F56=1,#REF!*((Costos!G56/#REF!)^2)*#REF!*Costos!D56*Costos!$B$4,"error")))</f>
        <v>#REF!</v>
      </c>
      <c r="I56" s="9" t="e">
        <f>#REF!*#REF!*#REF!*1000</f>
        <v>#REF!</v>
      </c>
      <c r="J56" s="72" t="e">
        <f t="shared" si="0"/>
        <v>#REF!</v>
      </c>
      <c r="K56" s="72" t="e">
        <f>IF(#REF!&gt;57.5,#REF!,IF(#REF!&gt;29.99999999,#REF!,IF(#REF!&gt;0.9999999999,#REF!,IF(#REF!&gt;0.000000001,#REF!,"Error"))))</f>
        <v>#REF!</v>
      </c>
      <c r="L56" s="13" t="e">
        <f>IF(K56&gt;J56,(1+E56*0.04)*#REF!*D56,0)</f>
        <v>#REF!</v>
      </c>
      <c r="M56" s="13" t="e">
        <f>IF(K56&gt;J56,G56^2*#REF!*D56*$B$5,0)</f>
        <v>#REF!</v>
      </c>
    </row>
    <row r="57" spans="2:13" x14ac:dyDescent="0.25">
      <c r="B57" s="2">
        <v>3</v>
      </c>
      <c r="C57" s="2" t="e">
        <f>#REF!</f>
        <v>#REF!</v>
      </c>
      <c r="D57" s="12" t="e">
        <f>IF(B57=1,#REF!,IF(B57=2,#REF!,IF(B57=3,#REF!,IF(B57=4,#REF!,IF(B57=5,#REF!,IF(B57=6,#REF!,IF(B57=7,#REF!,IF(B57=8,#REF!, IF(B57=9,#REF!,IF(B57=10,#REF!,IF(B57=11,#REF!,”Error”)))))))))))</f>
        <v>#REF!</v>
      </c>
      <c r="E57" s="12" t="e">
        <f>IF(#REF!="Si",1,IF(#REF!="No",0))</f>
        <v>#REF!</v>
      </c>
      <c r="F57" s="12" t="e">
        <f>IF(#REF!="Trifásico",3,IF(#REF!="Monofásico trifilar",2,IF(#REF!="Monofásico bifilar",1)))</f>
        <v>#REF!</v>
      </c>
      <c r="G57" s="22" t="e">
        <f>IF(#REF!="Trifásico",(#REF!)/(SQRT(3)*#REF!),IF(#REF!="Monofásico trifilar",(#REF!)/(#REF!),IF(#REF!="Monofásico bifilar",(#REF!)/(#REF!))))*(1+#REF!)</f>
        <v>#REF!</v>
      </c>
      <c r="H57" s="9" t="e">
        <f>IF(F57=3,#REF!*3*((Costos!G57/#REF!)^2)*#REF!*Costos!D57*Costos!$B$4,IF(F57=2,#REF!*2*((Costos!G57/#REF!)^2)*#REF!*Costos!D57*Costos!$B$4,IF(F57=1,#REF!*((Costos!G57/#REF!)^2)*#REF!*Costos!D57*Costos!$B$4,"error")))</f>
        <v>#REF!</v>
      </c>
      <c r="I57" s="9" t="e">
        <f>#REF!*#REF!*#REF!*1000</f>
        <v>#REF!</v>
      </c>
      <c r="J57" s="72" t="e">
        <f t="shared" si="0"/>
        <v>#REF!</v>
      </c>
      <c r="K57" s="72" t="e">
        <f>IF(#REF!&gt;57.5,#REF!,IF(#REF!&gt;29.99999999,#REF!,IF(#REF!&gt;0.9999999999,#REF!,IF(#REF!&gt;0.000000001,#REF!,"Error"))))</f>
        <v>#REF!</v>
      </c>
      <c r="L57" s="13" t="e">
        <f>IF(K57&gt;J57,(1+E57*0.04)*#REF!*D57,0)</f>
        <v>#REF!</v>
      </c>
      <c r="M57" s="13" t="e">
        <f>IF(K57&gt;J57,G57^2*#REF!*D57*$B$5,0)</f>
        <v>#REF!</v>
      </c>
    </row>
    <row r="58" spans="2:13" x14ac:dyDescent="0.25">
      <c r="B58" s="2">
        <v>3</v>
      </c>
      <c r="C58" s="2" t="e">
        <f>#REF!</f>
        <v>#REF!</v>
      </c>
      <c r="D58" s="12" t="e">
        <f>IF(B58=1,#REF!,IF(B58=2,#REF!,IF(B58=3,#REF!,IF(B58=4,#REF!,IF(B58=5,#REF!,IF(B58=6,#REF!,IF(B58=7,#REF!,IF(B58=8,#REF!, IF(B58=9,#REF!,IF(B58=10,#REF!,IF(B58=11,#REF!,”Error”)))))))))))</f>
        <v>#REF!</v>
      </c>
      <c r="E58" s="12" t="e">
        <f>IF(#REF!="Si",1,IF(#REF!="No",0))</f>
        <v>#REF!</v>
      </c>
      <c r="F58" s="12" t="e">
        <f>IF(#REF!="Trifásico",3,IF(#REF!="Monofásico trifilar",2,IF(#REF!="Monofásico bifilar",1)))</f>
        <v>#REF!</v>
      </c>
      <c r="G58" s="22" t="e">
        <f>IF(#REF!="Trifásico",(#REF!)/(SQRT(3)*#REF!),IF(#REF!="Monofásico trifilar",(#REF!)/(#REF!),IF(#REF!="Monofásico bifilar",(#REF!)/(#REF!))))*(1+#REF!)</f>
        <v>#REF!</v>
      </c>
      <c r="H58" s="9" t="e">
        <f>IF(F58=3,#REF!*3*((Costos!G58/#REF!)^2)*#REF!*Costos!D58*Costos!$B$4,IF(F58=2,#REF!*2*((Costos!G58/#REF!)^2)*#REF!*Costos!D58*Costos!$B$4,IF(F58=1,#REF!*((Costos!G58/#REF!)^2)*#REF!*Costos!D58*Costos!$B$4,"error")))</f>
        <v>#REF!</v>
      </c>
      <c r="I58" s="9" t="e">
        <f>#REF!*#REF!*#REF!*1000</f>
        <v>#REF!</v>
      </c>
      <c r="J58" s="72" t="e">
        <f t="shared" si="0"/>
        <v>#REF!</v>
      </c>
      <c r="K58" s="72" t="e">
        <f>IF(#REF!&gt;57.5,#REF!,IF(#REF!&gt;29.99999999,#REF!,IF(#REF!&gt;0.9999999999,#REF!,IF(#REF!&gt;0.000000001,#REF!,"Error"))))</f>
        <v>#REF!</v>
      </c>
      <c r="L58" s="13" t="e">
        <f>IF(K58&gt;J58,(1+E58*0.04)*#REF!*D58,0)</f>
        <v>#REF!</v>
      </c>
      <c r="M58" s="13" t="e">
        <f>IF(K58&gt;J58,G58^2*#REF!*D58*$B$5,0)</f>
        <v>#REF!</v>
      </c>
    </row>
    <row r="59" spans="2:13" x14ac:dyDescent="0.25">
      <c r="B59" s="2">
        <v>3</v>
      </c>
      <c r="C59" s="2" t="e">
        <f>#REF!</f>
        <v>#REF!</v>
      </c>
      <c r="D59" s="12" t="e">
        <f>IF(B59=1,#REF!,IF(B59=2,#REF!,IF(B59=3,#REF!,IF(B59=4,#REF!,IF(B59=5,#REF!,IF(B59=6,#REF!,IF(B59=7,#REF!,IF(B59=8,#REF!, IF(B59=9,#REF!,IF(B59=10,#REF!,IF(B59=11,#REF!,”Error”)))))))))))</f>
        <v>#REF!</v>
      </c>
      <c r="E59" s="12" t="e">
        <f>IF(#REF!="Si",1,IF(#REF!="No",0))</f>
        <v>#REF!</v>
      </c>
      <c r="F59" s="12" t="e">
        <f>IF(#REF!="Trifásico",3,IF(#REF!="Monofásico trifilar",2,IF(#REF!="Monofásico bifilar",1)))</f>
        <v>#REF!</v>
      </c>
      <c r="G59" s="22" t="e">
        <f>IF(#REF!="Trifásico",(#REF!)/(SQRT(3)*#REF!),IF(#REF!="Monofásico trifilar",(#REF!)/(#REF!),IF(#REF!="Monofásico bifilar",(#REF!)/(#REF!))))*(1+#REF!)</f>
        <v>#REF!</v>
      </c>
      <c r="H59" s="9" t="e">
        <f>IF(F59=3,#REF!*3*((Costos!G59/#REF!)^2)*#REF!*Costos!D59*Costos!$B$4,IF(F59=2,#REF!*2*((Costos!G59/#REF!)^2)*#REF!*Costos!D59*Costos!$B$4,IF(F59=1,#REF!*((Costos!G59/#REF!)^2)*#REF!*Costos!D59*Costos!$B$4,"error")))</f>
        <v>#REF!</v>
      </c>
      <c r="I59" s="9" t="e">
        <f>#REF!*#REF!*#REF!*1000</f>
        <v>#REF!</v>
      </c>
      <c r="J59" s="72" t="e">
        <f t="shared" si="0"/>
        <v>#REF!</v>
      </c>
      <c r="K59" s="72" t="e">
        <f>IF(#REF!&gt;57.5,#REF!,IF(#REF!&gt;29.99999999,#REF!,IF(#REF!&gt;0.9999999999,#REF!,IF(#REF!&gt;0.000000001,#REF!,"Error"))))</f>
        <v>#REF!</v>
      </c>
      <c r="L59" s="13" t="e">
        <f>IF(K59&gt;J59,(1+E59*0.04)*#REF!*D59,0)</f>
        <v>#REF!</v>
      </c>
      <c r="M59" s="13" t="e">
        <f>IF(K59&gt;J59,G59^2*#REF!*D59*$B$5,0)</f>
        <v>#REF!</v>
      </c>
    </row>
    <row r="60" spans="2:13" x14ac:dyDescent="0.25">
      <c r="B60" s="2">
        <v>3</v>
      </c>
      <c r="C60" s="2" t="e">
        <f>#REF!</f>
        <v>#REF!</v>
      </c>
      <c r="D60" s="12" t="e">
        <f>IF(B60=1,#REF!,IF(B60=2,#REF!,IF(B60=3,#REF!,IF(B60=4,#REF!,IF(B60=5,#REF!,IF(B60=6,#REF!,IF(B60=7,#REF!,IF(B60=8,#REF!, IF(B60=9,#REF!,IF(B60=10,#REF!,IF(B60=11,#REF!,”Error”)))))))))))</f>
        <v>#REF!</v>
      </c>
      <c r="E60" s="12" t="e">
        <f>IF(#REF!="Si",1,IF(#REF!="No",0))</f>
        <v>#REF!</v>
      </c>
      <c r="F60" s="12" t="e">
        <f>IF(#REF!="Trifásico",3,IF(#REF!="Monofásico trifilar",2,IF(#REF!="Monofásico bifilar",1)))</f>
        <v>#REF!</v>
      </c>
      <c r="G60" s="22" t="e">
        <f>IF(#REF!="Trifásico",(#REF!)/(SQRT(3)*#REF!),IF(#REF!="Monofásico trifilar",(#REF!)/(#REF!),IF(#REF!="Monofásico bifilar",(#REF!)/(#REF!))))*(1+#REF!)</f>
        <v>#REF!</v>
      </c>
      <c r="H60" s="9" t="e">
        <f>IF(F60=3,#REF!*3*((Costos!G60/#REF!)^2)*#REF!*Costos!D60*Costos!$B$4,IF(F60=2,#REF!*2*((Costos!G60/#REF!)^2)*#REF!*Costos!D60*Costos!$B$4,IF(F60=1,#REF!*((Costos!G60/#REF!)^2)*#REF!*Costos!D60*Costos!$B$4,"error")))</f>
        <v>#REF!</v>
      </c>
      <c r="I60" s="9" t="e">
        <f>#REF!*#REF!*#REF!*1000</f>
        <v>#REF!</v>
      </c>
      <c r="J60" s="72" t="e">
        <f t="shared" si="0"/>
        <v>#REF!</v>
      </c>
      <c r="K60" s="72" t="e">
        <f>IF(#REF!&gt;57.5,#REF!,IF(#REF!&gt;29.99999999,#REF!,IF(#REF!&gt;0.9999999999,#REF!,IF(#REF!&gt;0.000000001,#REF!,"Error"))))</f>
        <v>#REF!</v>
      </c>
      <c r="L60" s="13" t="e">
        <f>IF(K60&gt;J60,(1+E60*0.04)*#REF!*D60,0)</f>
        <v>#REF!</v>
      </c>
      <c r="M60" s="13" t="e">
        <f>IF(K60&gt;J60,G60^2*#REF!*D60*$B$5,0)</f>
        <v>#REF!</v>
      </c>
    </row>
    <row r="61" spans="2:13" x14ac:dyDescent="0.25">
      <c r="B61" s="2">
        <v>3</v>
      </c>
      <c r="C61" s="2" t="e">
        <f>#REF!</f>
        <v>#REF!</v>
      </c>
      <c r="D61" s="12" t="e">
        <f>IF(B61=1,#REF!,IF(B61=2,#REF!,IF(B61=3,#REF!,IF(B61=4,#REF!,IF(B61=5,#REF!,IF(B61=6,#REF!,IF(B61=7,#REF!,IF(B61=8,#REF!, IF(B61=9,#REF!,IF(B61=10,#REF!,IF(B61=11,#REF!,”Error”)))))))))))</f>
        <v>#REF!</v>
      </c>
      <c r="E61" s="12" t="e">
        <f>IF(#REF!="Si",1,IF(#REF!="No",0))</f>
        <v>#REF!</v>
      </c>
      <c r="F61" s="12" t="e">
        <f>IF(#REF!="Trifásico",3,IF(#REF!="Monofásico trifilar",2,IF(#REF!="Monofásico bifilar",1)))</f>
        <v>#REF!</v>
      </c>
      <c r="G61" s="22" t="e">
        <f>IF(#REF!="Trifásico",(#REF!)/(SQRT(3)*#REF!),IF(#REF!="Monofásico trifilar",(#REF!)/(#REF!),IF(#REF!="Monofásico bifilar",(#REF!)/(#REF!))))*(1+#REF!)</f>
        <v>#REF!</v>
      </c>
      <c r="H61" s="9" t="e">
        <f>IF(F61=3,#REF!*3*((Costos!G61/#REF!)^2)*#REF!*Costos!D61*Costos!$B$4,IF(F61=2,#REF!*2*((Costos!G61/#REF!)^2)*#REF!*Costos!D61*Costos!$B$4,IF(F61=1,#REF!*((Costos!G61/#REF!)^2)*#REF!*Costos!D61*Costos!$B$4,"error")))</f>
        <v>#REF!</v>
      </c>
      <c r="I61" s="9" t="e">
        <f>#REF!*#REF!*#REF!*1000</f>
        <v>#REF!</v>
      </c>
      <c r="J61" s="72" t="e">
        <f t="shared" si="0"/>
        <v>#REF!</v>
      </c>
      <c r="K61" s="72" t="e">
        <f>IF(#REF!&gt;57.5,#REF!,IF(#REF!&gt;29.99999999,#REF!,IF(#REF!&gt;0.9999999999,#REF!,IF(#REF!&gt;0.000000001,#REF!,"Error"))))</f>
        <v>#REF!</v>
      </c>
      <c r="L61" s="13" t="e">
        <f>IF(K61&gt;J61,(1+E61*0.04)*#REF!*D61,0)</f>
        <v>#REF!</v>
      </c>
      <c r="M61" s="13" t="e">
        <f>IF(K61&gt;J61,G61^2*#REF!*D61*$B$5,0)</f>
        <v>#REF!</v>
      </c>
    </row>
    <row r="62" spans="2:13" x14ac:dyDescent="0.25">
      <c r="B62" s="2">
        <v>3</v>
      </c>
      <c r="C62" s="2" t="e">
        <f>#REF!</f>
        <v>#REF!</v>
      </c>
      <c r="D62" s="12" t="e">
        <f>IF(B62=1,#REF!,IF(B62=2,#REF!,IF(B62=3,#REF!,IF(B62=4,#REF!,IF(B62=5,#REF!,IF(B62=6,#REF!,IF(B62=7,#REF!,IF(B62=8,#REF!, IF(B62=9,#REF!,IF(B62=10,#REF!,IF(B62=11,#REF!,”Error”)))))))))))</f>
        <v>#REF!</v>
      </c>
      <c r="E62" s="12" t="e">
        <f>IF(#REF!="Si",1,IF(#REF!="No",0))</f>
        <v>#REF!</v>
      </c>
      <c r="F62" s="12" t="e">
        <f>IF(#REF!="Trifásico",3,IF(#REF!="Monofásico trifilar",2,IF(#REF!="Monofásico bifilar",1)))</f>
        <v>#REF!</v>
      </c>
      <c r="G62" s="22" t="e">
        <f>IF(#REF!="Trifásico",(#REF!)/(SQRT(3)*#REF!),IF(#REF!="Monofásico trifilar",(#REF!)/(#REF!),IF(#REF!="Monofásico bifilar",(#REF!)/(#REF!))))*(1+#REF!)</f>
        <v>#REF!</v>
      </c>
      <c r="H62" s="9" t="e">
        <f>IF(F62=3,#REF!*3*((Costos!G62/#REF!)^2)*#REF!*Costos!D62*Costos!$B$4,IF(F62=2,#REF!*2*((Costos!G62/#REF!)^2)*#REF!*Costos!D62*Costos!$B$4,IF(F62=1,#REF!*((Costos!G62/#REF!)^2)*#REF!*Costos!D62*Costos!$B$4,"error")))</f>
        <v>#REF!</v>
      </c>
      <c r="I62" s="9" t="e">
        <f>#REF!*#REF!*#REF!*1000</f>
        <v>#REF!</v>
      </c>
      <c r="J62" s="72" t="e">
        <f t="shared" si="0"/>
        <v>#REF!</v>
      </c>
      <c r="K62" s="72" t="e">
        <f>IF(#REF!&gt;57.5,#REF!,IF(#REF!&gt;29.99999999,#REF!,IF(#REF!&gt;0.9999999999,#REF!,IF(#REF!&gt;0.000000001,#REF!,"Error"))))</f>
        <v>#REF!</v>
      </c>
      <c r="L62" s="13" t="e">
        <f>IF(K62&gt;J62,(1+E62*0.04)*#REF!*D62,0)</f>
        <v>#REF!</v>
      </c>
      <c r="M62" s="13" t="e">
        <f>IF(K62&gt;J62,G62^2*#REF!*D62*$B$5,0)</f>
        <v>#REF!</v>
      </c>
    </row>
    <row r="63" spans="2:13" x14ac:dyDescent="0.25">
      <c r="B63" s="2">
        <v>3</v>
      </c>
      <c r="C63" s="2" t="e">
        <f>#REF!</f>
        <v>#REF!</v>
      </c>
      <c r="D63" s="12" t="e">
        <f>IF(B63=1,#REF!,IF(B63=2,#REF!,IF(B63=3,#REF!,IF(B63=4,#REF!,IF(B63=5,#REF!,IF(B63=6,#REF!,IF(B63=7,#REF!,IF(B63=8,#REF!, IF(B63=9,#REF!,IF(B63=10,#REF!,IF(B63=11,#REF!,”Error”)))))))))))</f>
        <v>#REF!</v>
      </c>
      <c r="E63" s="12" t="e">
        <f>IF(#REF!="Si",1,IF(#REF!="No",0))</f>
        <v>#REF!</v>
      </c>
      <c r="F63" s="12" t="e">
        <f>IF(#REF!="Trifásico",3,IF(#REF!="Monofásico trifilar",2,IF(#REF!="Monofásico bifilar",1)))</f>
        <v>#REF!</v>
      </c>
      <c r="G63" s="22" t="e">
        <f>IF(#REF!="Trifásico",(#REF!)/(SQRT(3)*#REF!),IF(#REF!="Monofásico trifilar",(#REF!)/(#REF!),IF(#REF!="Monofásico bifilar",(#REF!)/(#REF!))))*(1+#REF!)</f>
        <v>#REF!</v>
      </c>
      <c r="H63" s="9" t="e">
        <f>IF(F63=3,#REF!*3*((Costos!G63/#REF!)^2)*#REF!*Costos!D63*Costos!$B$4,IF(F63=2,#REF!*2*((Costos!G63/#REF!)^2)*#REF!*Costos!D63*Costos!$B$4,IF(F63=1,#REF!*((Costos!G63/#REF!)^2)*#REF!*Costos!D63*Costos!$B$4,"error")))</f>
        <v>#REF!</v>
      </c>
      <c r="I63" s="9" t="e">
        <f>#REF!*#REF!*#REF!*1000</f>
        <v>#REF!</v>
      </c>
      <c r="J63" s="72" t="e">
        <f t="shared" si="0"/>
        <v>#REF!</v>
      </c>
      <c r="K63" s="72" t="e">
        <f>IF(#REF!&gt;57.5,#REF!,IF(#REF!&gt;29.99999999,#REF!,IF(#REF!&gt;0.9999999999,#REF!,IF(#REF!&gt;0.000000001,#REF!,"Error"))))</f>
        <v>#REF!</v>
      </c>
      <c r="L63" s="13" t="e">
        <f>IF(K63&gt;J63,(1+E63*0.04)*#REF!*D63,0)</f>
        <v>#REF!</v>
      </c>
      <c r="M63" s="13" t="e">
        <f>IF(K63&gt;J63,G63^2*#REF!*D63*$B$5,0)</f>
        <v>#REF!</v>
      </c>
    </row>
    <row r="64" spans="2:13" x14ac:dyDescent="0.25">
      <c r="B64" s="2">
        <v>3</v>
      </c>
      <c r="C64" s="2" t="e">
        <f>#REF!</f>
        <v>#REF!</v>
      </c>
      <c r="D64" s="12" t="e">
        <f>IF(B64=1,#REF!,IF(B64=2,#REF!,IF(B64=3,#REF!,IF(B64=4,#REF!,IF(B64=5,#REF!,IF(B64=6,#REF!,IF(B64=7,#REF!,IF(B64=8,#REF!, IF(B64=9,#REF!,IF(B64=10,#REF!,IF(B64=11,#REF!,”Error”)))))))))))</f>
        <v>#REF!</v>
      </c>
      <c r="E64" s="12" t="e">
        <f>IF(#REF!="Si",1,IF(#REF!="No",0))</f>
        <v>#REF!</v>
      </c>
      <c r="F64" s="12" t="e">
        <f>IF(#REF!="Trifásico",3,IF(#REF!="Monofásico trifilar",2,IF(#REF!="Monofásico bifilar",1)))</f>
        <v>#REF!</v>
      </c>
      <c r="G64" s="22" t="e">
        <f>IF(#REF!="Trifásico",(#REF!)/(SQRT(3)*#REF!),IF(#REF!="Monofásico trifilar",(#REF!)/(#REF!),IF(#REF!="Monofásico bifilar",(#REF!)/(#REF!))))*(1+#REF!)</f>
        <v>#REF!</v>
      </c>
      <c r="H64" s="9" t="e">
        <f>IF(F64=3,#REF!*3*((Costos!G64/#REF!)^2)*#REF!*Costos!D64*Costos!$B$4,IF(F64=2,#REF!*2*((Costos!G64/#REF!)^2)*#REF!*Costos!D64*Costos!$B$4,IF(F64=1,#REF!*((Costos!G64/#REF!)^2)*#REF!*Costos!D64*Costos!$B$4,"error")))</f>
        <v>#REF!</v>
      </c>
      <c r="I64" s="9" t="e">
        <f>#REF!*#REF!*#REF!*1000</f>
        <v>#REF!</v>
      </c>
      <c r="J64" s="72" t="e">
        <f t="shared" si="0"/>
        <v>#REF!</v>
      </c>
      <c r="K64" s="72" t="e">
        <f>IF(#REF!&gt;57.5,#REF!,IF(#REF!&gt;29.99999999,#REF!,IF(#REF!&gt;0.9999999999,#REF!,IF(#REF!&gt;0.000000001,#REF!,"Error"))))</f>
        <v>#REF!</v>
      </c>
      <c r="L64" s="13" t="e">
        <f>IF(K64&gt;J64,(1+E64*0.04)*#REF!*D64,0)</f>
        <v>#REF!</v>
      </c>
      <c r="M64" s="13" t="e">
        <f>IF(K64&gt;J64,G64^2*#REF!*D64*$B$5,0)</f>
        <v>#REF!</v>
      </c>
    </row>
    <row r="65" spans="2:13" x14ac:dyDescent="0.25">
      <c r="B65" s="2">
        <v>3</v>
      </c>
      <c r="C65" s="2" t="e">
        <f>#REF!</f>
        <v>#REF!</v>
      </c>
      <c r="D65" s="12" t="e">
        <f>IF(B65=1,#REF!,IF(B65=2,#REF!,IF(B65=3,#REF!,IF(B65=4,#REF!,IF(B65=5,#REF!,IF(B65=6,#REF!,IF(B65=7,#REF!,IF(B65=8,#REF!, IF(B65=9,#REF!,IF(B65=10,#REF!,IF(B65=11,#REF!,”Error”)))))))))))</f>
        <v>#REF!</v>
      </c>
      <c r="E65" s="12" t="e">
        <f>IF(#REF!="Si",1,IF(#REF!="No",0))</f>
        <v>#REF!</v>
      </c>
      <c r="F65" s="12" t="e">
        <f>IF(#REF!="Trifásico",3,IF(#REF!="Monofásico trifilar",2,IF(#REF!="Monofásico bifilar",1)))</f>
        <v>#REF!</v>
      </c>
      <c r="G65" s="22" t="e">
        <f>IF(#REF!="Trifásico",(#REF!)/(SQRT(3)*#REF!),IF(#REF!="Monofásico trifilar",(#REF!)/(#REF!),IF(#REF!="Monofásico bifilar",(#REF!)/(#REF!))))*(1+#REF!)</f>
        <v>#REF!</v>
      </c>
      <c r="H65" s="9" t="e">
        <f>IF(F65=3,#REF!*3*((Costos!G65/#REF!)^2)*#REF!*Costos!D65*Costos!$B$4,IF(F65=2,#REF!*2*((Costos!G65/#REF!)^2)*#REF!*Costos!D65*Costos!$B$4,IF(F65=1,#REF!*((Costos!G65/#REF!)^2)*#REF!*Costos!D65*Costos!$B$4,"error")))</f>
        <v>#REF!</v>
      </c>
      <c r="I65" s="9" t="e">
        <f>#REF!*#REF!*#REF!*1000</f>
        <v>#REF!</v>
      </c>
      <c r="J65" s="72" t="e">
        <f t="shared" si="0"/>
        <v>#REF!</v>
      </c>
      <c r="K65" s="72" t="e">
        <f>IF(#REF!&gt;57.5,#REF!,IF(#REF!&gt;29.99999999,#REF!,IF(#REF!&gt;0.9999999999,#REF!,IF(#REF!&gt;0.000000001,#REF!,"Error"))))</f>
        <v>#REF!</v>
      </c>
      <c r="L65" s="13" t="e">
        <f>IF(K65&gt;J65,(1+E65*0.04)*#REF!*D65,0)</f>
        <v>#REF!</v>
      </c>
      <c r="M65" s="13" t="e">
        <f>IF(K65&gt;J65,G65^2*#REF!*D65*$B$5,0)</f>
        <v>#REF!</v>
      </c>
    </row>
    <row r="66" spans="2:13" x14ac:dyDescent="0.25">
      <c r="B66" s="2">
        <v>3</v>
      </c>
      <c r="C66" s="2" t="e">
        <f>#REF!</f>
        <v>#REF!</v>
      </c>
      <c r="D66" s="12" t="e">
        <f>IF(B66=1,#REF!,IF(B66=2,#REF!,IF(B66=3,#REF!,IF(B66=4,#REF!,IF(B66=5,#REF!,IF(B66=6,#REF!,IF(B66=7,#REF!,IF(B66=8,#REF!, IF(B66=9,#REF!,IF(B66=10,#REF!,IF(B66=11,#REF!,”Error”)))))))))))</f>
        <v>#REF!</v>
      </c>
      <c r="E66" s="12" t="e">
        <f>IF(#REF!="Si",1,IF(#REF!="No",0))</f>
        <v>#REF!</v>
      </c>
      <c r="F66" s="12" t="e">
        <f>IF(#REF!="Trifásico",3,IF(#REF!="Monofásico trifilar",2,IF(#REF!="Monofásico bifilar",1)))</f>
        <v>#REF!</v>
      </c>
      <c r="G66" s="22" t="e">
        <f>IF(#REF!="Trifásico",(#REF!)/(SQRT(3)*#REF!),IF(#REF!="Monofásico trifilar",(#REF!)/(#REF!),IF(#REF!="Monofásico bifilar",(#REF!)/(#REF!))))*(1+#REF!)</f>
        <v>#REF!</v>
      </c>
      <c r="H66" s="9" t="e">
        <f>IF(F66=3,#REF!*3*((Costos!G66/#REF!)^2)*#REF!*Costos!D66*Costos!$B$4,IF(F66=2,#REF!*2*((Costos!G66/#REF!)^2)*#REF!*Costos!D66*Costos!$B$4,IF(F66=1,#REF!*((Costos!G66/#REF!)^2)*#REF!*Costos!D66*Costos!$B$4,"error")))</f>
        <v>#REF!</v>
      </c>
      <c r="I66" s="9" t="e">
        <f>#REF!*#REF!*#REF!*1000</f>
        <v>#REF!</v>
      </c>
      <c r="J66" s="72" t="e">
        <f t="shared" si="0"/>
        <v>#REF!</v>
      </c>
      <c r="K66" s="72" t="e">
        <f>IF(#REF!&gt;57.5,#REF!,IF(#REF!&gt;29.99999999,#REF!,IF(#REF!&gt;0.9999999999,#REF!,IF(#REF!&gt;0.000000001,#REF!,"Error"))))</f>
        <v>#REF!</v>
      </c>
      <c r="L66" s="13" t="e">
        <f>IF(K66&gt;J66,(1+E66*0.04)*#REF!*D66,0)</f>
        <v>#REF!</v>
      </c>
      <c r="M66" s="13" t="e">
        <f>IF(K66&gt;J66,G66^2*#REF!*D66*$B$5,0)</f>
        <v>#REF!</v>
      </c>
    </row>
    <row r="67" spans="2:13" x14ac:dyDescent="0.25">
      <c r="B67" s="2">
        <v>3</v>
      </c>
      <c r="C67" s="2" t="e">
        <f>#REF!</f>
        <v>#REF!</v>
      </c>
      <c r="D67" s="12" t="e">
        <f>IF(B67=1,#REF!,IF(B67=2,#REF!,IF(B67=3,#REF!,IF(B67=4,#REF!,IF(B67=5,#REF!,IF(B67=6,#REF!,IF(B67=7,#REF!,IF(B67=8,#REF!, IF(B67=9,#REF!,IF(B67=10,#REF!,IF(B67=11,#REF!,”Error”)))))))))))</f>
        <v>#REF!</v>
      </c>
      <c r="E67" s="12" t="e">
        <f>IF(#REF!="Si",1,IF(#REF!="No",0))</f>
        <v>#REF!</v>
      </c>
      <c r="F67" s="12" t="e">
        <f>IF(#REF!="Trifásico",3,IF(#REF!="Monofásico trifilar",2,IF(#REF!="Monofásico bifilar",1)))</f>
        <v>#REF!</v>
      </c>
      <c r="G67" s="22" t="e">
        <f>IF(#REF!="Trifásico",(#REF!)/(SQRT(3)*#REF!),IF(#REF!="Monofásico trifilar",(#REF!)/(#REF!),IF(#REF!="Monofásico bifilar",(#REF!)/(#REF!))))*(1+#REF!)</f>
        <v>#REF!</v>
      </c>
      <c r="H67" s="9" t="e">
        <f>IF(F67=3,#REF!*3*((Costos!G67/#REF!)^2)*#REF!*Costos!D67*Costos!$B$4,IF(F67=2,#REF!*2*((Costos!G67/#REF!)^2)*#REF!*Costos!D67*Costos!$B$4,IF(F67=1,#REF!*((Costos!G67/#REF!)^2)*#REF!*Costos!D67*Costos!$B$4,"error")))</f>
        <v>#REF!</v>
      </c>
      <c r="I67" s="9" t="e">
        <f>#REF!*#REF!*#REF!*1000</f>
        <v>#REF!</v>
      </c>
      <c r="J67" s="72" t="e">
        <f t="shared" si="0"/>
        <v>#REF!</v>
      </c>
      <c r="K67" s="72" t="e">
        <f>IF(#REF!&gt;57.5,#REF!,IF(#REF!&gt;29.99999999,#REF!,IF(#REF!&gt;0.9999999999,#REF!,IF(#REF!&gt;0.000000001,#REF!,"Error"))))</f>
        <v>#REF!</v>
      </c>
      <c r="L67" s="13" t="e">
        <f>IF(K67&gt;J67,(1+E67*0.04)*#REF!*D67,0)</f>
        <v>#REF!</v>
      </c>
      <c r="M67" s="13" t="e">
        <f>IF(K67&gt;J67,G67^2*#REF!*D67*$B$5,0)</f>
        <v>#REF!</v>
      </c>
    </row>
    <row r="68" spans="2:13" x14ac:dyDescent="0.25">
      <c r="B68" s="2">
        <v>3</v>
      </c>
      <c r="C68" s="2" t="e">
        <f>#REF!</f>
        <v>#REF!</v>
      </c>
      <c r="D68" s="12" t="e">
        <f>IF(B68=1,#REF!,IF(B68=2,#REF!,IF(B68=3,#REF!,IF(B68=4,#REF!,IF(B68=5,#REF!,IF(B68=6,#REF!,IF(B68=7,#REF!,IF(B68=8,#REF!, IF(B68=9,#REF!,IF(B68=10,#REF!,IF(B68=11,#REF!,”Error”)))))))))))</f>
        <v>#REF!</v>
      </c>
      <c r="E68" s="12" t="e">
        <f>IF(#REF!="Si",1,IF(#REF!="No",0))</f>
        <v>#REF!</v>
      </c>
      <c r="F68" s="12" t="e">
        <f>IF(#REF!="Trifásico",3,IF(#REF!="Monofásico trifilar",2,IF(#REF!="Monofásico bifilar",1)))</f>
        <v>#REF!</v>
      </c>
      <c r="G68" s="22" t="e">
        <f>IF(#REF!="Trifásico",(#REF!)/(SQRT(3)*#REF!),IF(#REF!="Monofásico trifilar",(#REF!)/(#REF!),IF(#REF!="Monofásico bifilar",(#REF!)/(#REF!))))*(1+#REF!)</f>
        <v>#REF!</v>
      </c>
      <c r="H68" s="9" t="e">
        <f>IF(F68=3,#REF!*3*((Costos!G68/#REF!)^2)*#REF!*Costos!D68*Costos!$B$4,IF(F68=2,#REF!*2*((Costos!G68/#REF!)^2)*#REF!*Costos!D68*Costos!$B$4,IF(F68=1,#REF!*((Costos!G68/#REF!)^2)*#REF!*Costos!D68*Costos!$B$4,"error")))</f>
        <v>#REF!</v>
      </c>
      <c r="I68" s="9" t="e">
        <f>#REF!*#REF!*#REF!*1000</f>
        <v>#REF!</v>
      </c>
      <c r="J68" s="72" t="e">
        <f t="shared" si="0"/>
        <v>#REF!</v>
      </c>
      <c r="K68" s="72" t="e">
        <f>IF(#REF!&gt;57.5,#REF!,IF(#REF!&gt;29.99999999,#REF!,IF(#REF!&gt;0.9999999999,#REF!,IF(#REF!&gt;0.000000001,#REF!,"Error"))))</f>
        <v>#REF!</v>
      </c>
      <c r="L68" s="13" t="e">
        <f>IF(K68&gt;J68,(1+E68*0.04)*#REF!*D68,0)</f>
        <v>#REF!</v>
      </c>
      <c r="M68" s="13" t="e">
        <f>IF(K68&gt;J68,G68^2*#REF!*D68*$B$5,0)</f>
        <v>#REF!</v>
      </c>
    </row>
    <row r="69" spans="2:13" x14ac:dyDescent="0.25">
      <c r="B69" s="2">
        <v>3</v>
      </c>
      <c r="C69" s="2" t="e">
        <f>#REF!</f>
        <v>#REF!</v>
      </c>
      <c r="D69" s="12" t="e">
        <f>IF(B69=1,#REF!,IF(B69=2,#REF!,IF(B69=3,#REF!,IF(B69=4,#REF!,IF(B69=5,#REF!,IF(B69=6,#REF!,IF(B69=7,#REF!,IF(B69=8,#REF!, IF(B69=9,#REF!,IF(B69=10,#REF!,IF(B69=11,#REF!,”Error”)))))))))))</f>
        <v>#REF!</v>
      </c>
      <c r="E69" s="12" t="e">
        <f>IF(#REF!="Si",1,IF(#REF!="No",0))</f>
        <v>#REF!</v>
      </c>
      <c r="F69" s="12" t="e">
        <f>IF(#REF!="Trifásico",3,IF(#REF!="Monofásico trifilar",2,IF(#REF!="Monofásico bifilar",1)))</f>
        <v>#REF!</v>
      </c>
      <c r="G69" s="22" t="e">
        <f>IF(#REF!="Trifásico",(#REF!)/(SQRT(3)*#REF!),IF(#REF!="Monofásico trifilar",(#REF!)/(#REF!),IF(#REF!="Monofásico bifilar",(#REF!)/(#REF!))))*(1+#REF!)</f>
        <v>#REF!</v>
      </c>
      <c r="H69" s="9" t="e">
        <f>IF(F69=3,#REF!*3*((Costos!G69/#REF!)^2)*#REF!*Costos!D69*Costos!$B$4,IF(F69=2,#REF!*2*((Costos!G69/#REF!)^2)*#REF!*Costos!D69*Costos!$B$4,IF(F69=1,#REF!*((Costos!G69/#REF!)^2)*#REF!*Costos!D69*Costos!$B$4,"error")))</f>
        <v>#REF!</v>
      </c>
      <c r="I69" s="9" t="e">
        <f>#REF!*#REF!*#REF!*1000</f>
        <v>#REF!</v>
      </c>
      <c r="J69" s="72" t="e">
        <f t="shared" si="0"/>
        <v>#REF!</v>
      </c>
      <c r="K69" s="72" t="e">
        <f>IF(#REF!&gt;57.5,#REF!,IF(#REF!&gt;29.99999999,#REF!,IF(#REF!&gt;0.9999999999,#REF!,IF(#REF!&gt;0.000000001,#REF!,"Error"))))</f>
        <v>#REF!</v>
      </c>
      <c r="L69" s="13" t="e">
        <f>IF(K69&gt;J69,(1+E69*0.04)*#REF!*D69,0)</f>
        <v>#REF!</v>
      </c>
      <c r="M69" s="13" t="e">
        <f>IF(K69&gt;J69,G69^2*#REF!*D69*$B$5,0)</f>
        <v>#REF!</v>
      </c>
    </row>
    <row r="70" spans="2:13" x14ac:dyDescent="0.25">
      <c r="B70" s="2">
        <v>3</v>
      </c>
      <c r="C70" s="2" t="e">
        <f>#REF!</f>
        <v>#REF!</v>
      </c>
      <c r="D70" s="12" t="e">
        <f>IF(B70=1,#REF!,IF(B70=2,#REF!,IF(B70=3,#REF!,IF(B70=4,#REF!,IF(B70=5,#REF!,IF(B70=6,#REF!,IF(B70=7,#REF!,IF(B70=8,#REF!, IF(B70=9,#REF!,IF(B70=10,#REF!,IF(B70=11,#REF!,”Error”)))))))))))</f>
        <v>#REF!</v>
      </c>
      <c r="E70" s="12" t="e">
        <f>IF(#REF!="Si",1,IF(#REF!="No",0))</f>
        <v>#REF!</v>
      </c>
      <c r="F70" s="12" t="e">
        <f>IF(#REF!="Trifásico",3,IF(#REF!="Monofásico trifilar",2,IF(#REF!="Monofásico bifilar",1)))</f>
        <v>#REF!</v>
      </c>
      <c r="G70" s="22" t="e">
        <f>IF(#REF!="Trifásico",(#REF!)/(SQRT(3)*#REF!),IF(#REF!="Monofásico trifilar",(#REF!)/(#REF!),IF(#REF!="Monofásico bifilar",(#REF!)/(#REF!))))*(1+#REF!)</f>
        <v>#REF!</v>
      </c>
      <c r="H70" s="9" t="e">
        <f>IF(F70=3,#REF!*3*((Costos!G70/#REF!)^2)*#REF!*Costos!D70*Costos!$B$4,IF(F70=2,#REF!*2*((Costos!G70/#REF!)^2)*#REF!*Costos!D70*Costos!$B$4,IF(F70=1,#REF!*((Costos!G70/#REF!)^2)*#REF!*Costos!D70*Costos!$B$4,"error")))</f>
        <v>#REF!</v>
      </c>
      <c r="I70" s="9" t="e">
        <f>#REF!*#REF!*#REF!*1000</f>
        <v>#REF!</v>
      </c>
      <c r="J70" s="72" t="e">
        <f t="shared" si="0"/>
        <v>#REF!</v>
      </c>
      <c r="K70" s="72" t="e">
        <f>IF(#REF!&gt;57.5,#REF!,IF(#REF!&gt;29.99999999,#REF!,IF(#REF!&gt;0.9999999999,#REF!,IF(#REF!&gt;0.000000001,#REF!,"Error"))))</f>
        <v>#REF!</v>
      </c>
      <c r="L70" s="13" t="e">
        <f>IF(K70&gt;J70,(1+E70*0.04)*#REF!*D70,0)</f>
        <v>#REF!</v>
      </c>
      <c r="M70" s="13" t="e">
        <f>IF(K70&gt;J70,G70^2*#REF!*D70*$B$5,0)</f>
        <v>#REF!</v>
      </c>
    </row>
    <row r="71" spans="2:13" x14ac:dyDescent="0.25">
      <c r="B71" s="2">
        <v>3</v>
      </c>
      <c r="C71" s="2" t="e">
        <f>#REF!</f>
        <v>#REF!</v>
      </c>
      <c r="D71" s="12" t="e">
        <f>IF(B71=1,#REF!,IF(B71=2,#REF!,IF(B71=3,#REF!,IF(B71=4,#REF!,IF(B71=5,#REF!,IF(B71=6,#REF!,IF(B71=7,#REF!,IF(B71=8,#REF!, IF(B71=9,#REF!,IF(B71=10,#REF!,IF(B71=11,#REF!,”Error”)))))))))))</f>
        <v>#REF!</v>
      </c>
      <c r="E71" s="12" t="e">
        <f>IF(#REF!="Si",1,IF(#REF!="No",0))</f>
        <v>#REF!</v>
      </c>
      <c r="F71" s="12" t="e">
        <f>IF(#REF!="Trifásico",3,IF(#REF!="Monofásico trifilar",2,IF(#REF!="Monofásico bifilar",1)))</f>
        <v>#REF!</v>
      </c>
      <c r="G71" s="22" t="e">
        <f>IF(#REF!="Trifásico",(#REF!)/(SQRT(3)*#REF!),IF(#REF!="Monofásico trifilar",(#REF!)/(#REF!),IF(#REF!="Monofásico bifilar",(#REF!)/(#REF!))))*(1+#REF!)</f>
        <v>#REF!</v>
      </c>
      <c r="H71" s="9" t="e">
        <f>IF(F71=3,#REF!*3*((Costos!G71/#REF!)^2)*#REF!*Costos!D71*Costos!$B$4,IF(F71=2,#REF!*2*((Costos!G71/#REF!)^2)*#REF!*Costos!D71*Costos!$B$4,IF(F71=1,#REF!*((Costos!G71/#REF!)^2)*#REF!*Costos!D71*Costos!$B$4,"error")))</f>
        <v>#REF!</v>
      </c>
      <c r="I71" s="9" t="e">
        <f>#REF!*#REF!*#REF!*1000</f>
        <v>#REF!</v>
      </c>
      <c r="J71" s="72" t="e">
        <f t="shared" si="0"/>
        <v>#REF!</v>
      </c>
      <c r="K71" s="72" t="e">
        <f>IF(#REF!&gt;57.5,#REF!,IF(#REF!&gt;29.99999999,#REF!,IF(#REF!&gt;0.9999999999,#REF!,IF(#REF!&gt;0.000000001,#REF!,"Error"))))</f>
        <v>#REF!</v>
      </c>
      <c r="L71" s="13" t="e">
        <f>IF(K71&gt;J71,(1+E71*0.04)*#REF!*D71,0)</f>
        <v>#REF!</v>
      </c>
      <c r="M71" s="13" t="e">
        <f>IF(K71&gt;J71,G71^2*#REF!*D71*$B$5,0)</f>
        <v>#REF!</v>
      </c>
    </row>
    <row r="72" spans="2:13" x14ac:dyDescent="0.25">
      <c r="B72" s="2">
        <v>3</v>
      </c>
      <c r="C72" s="2" t="e">
        <f>#REF!</f>
        <v>#REF!</v>
      </c>
      <c r="D72" s="12" t="e">
        <f>IF(B72=1,#REF!,IF(B72=2,#REF!,IF(B72=3,#REF!,IF(B72=4,#REF!,IF(B72=5,#REF!,IF(B72=6,#REF!,IF(B72=7,#REF!,IF(B72=8,#REF!, IF(B72=9,#REF!,IF(B72=10,#REF!,IF(B72=11,#REF!,”Error”)))))))))))</f>
        <v>#REF!</v>
      </c>
      <c r="E72" s="12" t="e">
        <f>IF(#REF!="Si",1,IF(#REF!="No",0))</f>
        <v>#REF!</v>
      </c>
      <c r="F72" s="12" t="e">
        <f>IF(#REF!="Trifásico",3,IF(#REF!="Monofásico trifilar",2,IF(#REF!="Monofásico bifilar",1)))</f>
        <v>#REF!</v>
      </c>
      <c r="G72" s="22" t="e">
        <f>IF(#REF!="Trifásico",(#REF!)/(SQRT(3)*#REF!),IF(#REF!="Monofásico trifilar",(#REF!)/(#REF!),IF(#REF!="Monofásico bifilar",(#REF!)/(#REF!))))*(1+#REF!)</f>
        <v>#REF!</v>
      </c>
      <c r="H72" s="9" t="e">
        <f>IF(F72=3,#REF!*3*((Costos!G72/#REF!)^2)*#REF!*Costos!D72*Costos!$B$4,IF(F72=2,#REF!*2*((Costos!G72/#REF!)^2)*#REF!*Costos!D72*Costos!$B$4,IF(F72=1,#REF!*((Costos!G72/#REF!)^2)*#REF!*Costos!D72*Costos!$B$4,"error")))</f>
        <v>#REF!</v>
      </c>
      <c r="I72" s="9" t="e">
        <f>#REF!*#REF!*#REF!*1000</f>
        <v>#REF!</v>
      </c>
      <c r="J72" s="72" t="e">
        <f t="shared" si="0"/>
        <v>#REF!</v>
      </c>
      <c r="K72" s="72" t="e">
        <f>IF(#REF!&gt;57.5,#REF!,IF(#REF!&gt;29.99999999,#REF!,IF(#REF!&gt;0.9999999999,#REF!,IF(#REF!&gt;0.000000001,#REF!,"Error"))))</f>
        <v>#REF!</v>
      </c>
      <c r="L72" s="13" t="e">
        <f>IF(K72&gt;J72,(1+E72*0.04)*#REF!*D72,0)</f>
        <v>#REF!</v>
      </c>
      <c r="M72" s="13" t="e">
        <f>IF(K72&gt;J72,G72^2*#REF!*D72*$B$5,0)</f>
        <v>#REF!</v>
      </c>
    </row>
    <row r="73" spans="2:13" x14ac:dyDescent="0.25">
      <c r="B73" s="2">
        <v>3</v>
      </c>
      <c r="C73" s="2" t="e">
        <f>#REF!</f>
        <v>#REF!</v>
      </c>
      <c r="D73" s="12" t="e">
        <f>IF(B73=1,#REF!,IF(B73=2,#REF!,IF(B73=3,#REF!,IF(B73=4,#REF!,IF(B73=5,#REF!,IF(B73=6,#REF!,IF(B73=7,#REF!,IF(B73=8,#REF!, IF(B73=9,#REF!,IF(B73=10,#REF!,IF(B73=11,#REF!,”Error”)))))))))))</f>
        <v>#REF!</v>
      </c>
      <c r="E73" s="12" t="e">
        <f>IF(#REF!="Si",1,IF(#REF!="No",0))</f>
        <v>#REF!</v>
      </c>
      <c r="F73" s="12" t="e">
        <f>IF(#REF!="Trifásico",3,IF(#REF!="Monofásico trifilar",2,IF(#REF!="Monofásico bifilar",1)))</f>
        <v>#REF!</v>
      </c>
      <c r="G73" s="22" t="e">
        <f>IF(#REF!="Trifásico",(#REF!)/(SQRT(3)*#REF!),IF(#REF!="Monofásico trifilar",(#REF!)/(#REF!),IF(#REF!="Monofásico bifilar",(#REF!)/(#REF!))))*(1+#REF!)</f>
        <v>#REF!</v>
      </c>
      <c r="H73" s="9" t="e">
        <f>IF(F73=3,#REF!*3*((Costos!G73/#REF!)^2)*#REF!*Costos!D73*Costos!$B$4,IF(F73=2,#REF!*2*((Costos!G73/#REF!)^2)*#REF!*Costos!D73*Costos!$B$4,IF(F73=1,#REF!*((Costos!G73/#REF!)^2)*#REF!*Costos!D73*Costos!$B$4,"error")))</f>
        <v>#REF!</v>
      </c>
      <c r="I73" s="9" t="e">
        <f>#REF!*#REF!*#REF!*1000</f>
        <v>#REF!</v>
      </c>
      <c r="J73" s="72" t="e">
        <f t="shared" ref="J73:J136" si="1">(H73)/I73</f>
        <v>#REF!</v>
      </c>
      <c r="K73" s="72" t="e">
        <f>IF(#REF!&gt;57.5,#REF!,IF(#REF!&gt;29.99999999,#REF!,IF(#REF!&gt;0.9999999999,#REF!,IF(#REF!&gt;0.000000001,#REF!,"Error"))))</f>
        <v>#REF!</v>
      </c>
      <c r="L73" s="13" t="e">
        <f>IF(K73&gt;J73,(1+E73*0.04)*#REF!*D73,0)</f>
        <v>#REF!</v>
      </c>
      <c r="M73" s="13" t="e">
        <f>IF(K73&gt;J73,G73^2*#REF!*D73*$B$5,0)</f>
        <v>#REF!</v>
      </c>
    </row>
    <row r="74" spans="2:13" x14ac:dyDescent="0.25">
      <c r="B74" s="2">
        <v>3</v>
      </c>
      <c r="C74" s="2" t="e">
        <f>#REF!</f>
        <v>#REF!</v>
      </c>
      <c r="D74" s="12" t="e">
        <f>IF(B74=1,#REF!,IF(B74=2,#REF!,IF(B74=3,#REF!,IF(B74=4,#REF!,IF(B74=5,#REF!,IF(B74=6,#REF!,IF(B74=7,#REF!,IF(B74=8,#REF!, IF(B74=9,#REF!,IF(B74=10,#REF!,IF(B74=11,#REF!,”Error”)))))))))))</f>
        <v>#REF!</v>
      </c>
      <c r="E74" s="12" t="e">
        <f>IF(#REF!="Si",1,IF(#REF!="No",0))</f>
        <v>#REF!</v>
      </c>
      <c r="F74" s="12" t="e">
        <f>IF(#REF!="Trifásico",3,IF(#REF!="Monofásico trifilar",2,IF(#REF!="Monofásico bifilar",1)))</f>
        <v>#REF!</v>
      </c>
      <c r="G74" s="22" t="e">
        <f>IF(#REF!="Trifásico",(#REF!)/(SQRT(3)*#REF!),IF(#REF!="Monofásico trifilar",(#REF!)/(#REF!),IF(#REF!="Monofásico bifilar",(#REF!)/(#REF!))))*(1+#REF!)</f>
        <v>#REF!</v>
      </c>
      <c r="H74" s="9" t="e">
        <f>IF(F74=3,#REF!*3*((Costos!G74/#REF!)^2)*#REF!*Costos!D74*Costos!$B$4,IF(F74=2,#REF!*2*((Costos!G74/#REF!)^2)*#REF!*Costos!D74*Costos!$B$4,IF(F74=1,#REF!*((Costos!G74/#REF!)^2)*#REF!*Costos!D74*Costos!$B$4,"error")))</f>
        <v>#REF!</v>
      </c>
      <c r="I74" s="9" t="e">
        <f>#REF!*#REF!*#REF!*1000</f>
        <v>#REF!</v>
      </c>
      <c r="J74" s="72" t="e">
        <f t="shared" si="1"/>
        <v>#REF!</v>
      </c>
      <c r="K74" s="72" t="e">
        <f>IF(#REF!&gt;57.5,#REF!,IF(#REF!&gt;29.99999999,#REF!,IF(#REF!&gt;0.9999999999,#REF!,IF(#REF!&gt;0.000000001,#REF!,"Error"))))</f>
        <v>#REF!</v>
      </c>
      <c r="L74" s="13" t="e">
        <f>IF(K74&gt;J74,(1+E74*0.04)*#REF!*D74,0)</f>
        <v>#REF!</v>
      </c>
      <c r="M74" s="13" t="e">
        <f>IF(K74&gt;J74,G74^2*#REF!*D74*$B$5,0)</f>
        <v>#REF!</v>
      </c>
    </row>
    <row r="75" spans="2:13" x14ac:dyDescent="0.25">
      <c r="B75" s="2">
        <v>3</v>
      </c>
      <c r="C75" s="2" t="e">
        <f>#REF!</f>
        <v>#REF!</v>
      </c>
      <c r="D75" s="12" t="e">
        <f>IF(B75=1,#REF!,IF(B75=2,#REF!,IF(B75=3,#REF!,IF(B75=4,#REF!,IF(B75=5,#REF!,IF(B75=6,#REF!,IF(B75=7,#REF!,IF(B75=8,#REF!, IF(B75=9,#REF!,IF(B75=10,#REF!,IF(B75=11,#REF!,”Error”)))))))))))</f>
        <v>#REF!</v>
      </c>
      <c r="E75" s="12" t="e">
        <f>IF(#REF!="Si",1,IF(#REF!="No",0))</f>
        <v>#REF!</v>
      </c>
      <c r="F75" s="12" t="e">
        <f>IF(#REF!="Trifásico",3,IF(#REF!="Monofásico trifilar",2,IF(#REF!="Monofásico bifilar",1)))</f>
        <v>#REF!</v>
      </c>
      <c r="G75" s="22" t="e">
        <f>IF(#REF!="Trifásico",(#REF!)/(SQRT(3)*#REF!),IF(#REF!="Monofásico trifilar",(#REF!)/(#REF!),IF(#REF!="Monofásico bifilar",(#REF!)/(#REF!))))*(1+#REF!)</f>
        <v>#REF!</v>
      </c>
      <c r="H75" s="9" t="e">
        <f>IF(F75=3,#REF!*3*((Costos!G75/#REF!)^2)*#REF!*Costos!D75*Costos!$B$4,IF(F75=2,#REF!*2*((Costos!G75/#REF!)^2)*#REF!*Costos!D75*Costos!$B$4,IF(F75=1,#REF!*((Costos!G75/#REF!)^2)*#REF!*Costos!D75*Costos!$B$4,"error")))</f>
        <v>#REF!</v>
      </c>
      <c r="I75" s="9" t="e">
        <f>#REF!*#REF!*#REF!*1000</f>
        <v>#REF!</v>
      </c>
      <c r="J75" s="72" t="e">
        <f t="shared" si="1"/>
        <v>#REF!</v>
      </c>
      <c r="K75" s="72" t="e">
        <f>IF(#REF!&gt;57.5,#REF!,IF(#REF!&gt;29.99999999,#REF!,IF(#REF!&gt;0.9999999999,#REF!,IF(#REF!&gt;0.000000001,#REF!,"Error"))))</f>
        <v>#REF!</v>
      </c>
      <c r="L75" s="13" t="e">
        <f>IF(K75&gt;J75,(1+E75*0.04)*#REF!*D75,0)</f>
        <v>#REF!</v>
      </c>
      <c r="M75" s="13" t="e">
        <f>IF(K75&gt;J75,G75^2*#REF!*D75*$B$5,0)</f>
        <v>#REF!</v>
      </c>
    </row>
    <row r="76" spans="2:13" x14ac:dyDescent="0.25">
      <c r="B76" s="2">
        <v>3</v>
      </c>
      <c r="C76" s="2" t="e">
        <f>#REF!</f>
        <v>#REF!</v>
      </c>
      <c r="D76" s="12" t="e">
        <f>IF(B76=1,#REF!,IF(B76=2,#REF!,IF(B76=3,#REF!,IF(B76=4,#REF!,IF(B76=5,#REF!,IF(B76=6,#REF!,IF(B76=7,#REF!,IF(B76=8,#REF!, IF(B76=9,#REF!,IF(B76=10,#REF!,IF(B76=11,#REF!,”Error”)))))))))))</f>
        <v>#REF!</v>
      </c>
      <c r="E76" s="12" t="e">
        <f>IF(#REF!="Si",1,IF(#REF!="No",0))</f>
        <v>#REF!</v>
      </c>
      <c r="F76" s="12" t="e">
        <f>IF(#REF!="Trifásico",3,IF(#REF!="Monofásico trifilar",2,IF(#REF!="Monofásico bifilar",1)))</f>
        <v>#REF!</v>
      </c>
      <c r="G76" s="22" t="e">
        <f>IF(#REF!="Trifásico",(#REF!)/(SQRT(3)*#REF!),IF(#REF!="Monofásico trifilar",(#REF!)/(#REF!),IF(#REF!="Monofásico bifilar",(#REF!)/(#REF!))))*(1+#REF!)</f>
        <v>#REF!</v>
      </c>
      <c r="H76" s="9" t="e">
        <f>IF(F76=3,#REF!*3*((Costos!G76/#REF!)^2)*#REF!*Costos!D76*Costos!$B$4,IF(F76=2,#REF!*2*((Costos!G76/#REF!)^2)*#REF!*Costos!D76*Costos!$B$4,IF(F76=1,#REF!*((Costos!G76/#REF!)^2)*#REF!*Costos!D76*Costos!$B$4,"error")))</f>
        <v>#REF!</v>
      </c>
      <c r="I76" s="9" t="e">
        <f>#REF!*#REF!*#REF!*1000</f>
        <v>#REF!</v>
      </c>
      <c r="J76" s="72" t="e">
        <f t="shared" si="1"/>
        <v>#REF!</v>
      </c>
      <c r="K76" s="72" t="e">
        <f>IF(#REF!&gt;57.5,#REF!,IF(#REF!&gt;29.99999999,#REF!,IF(#REF!&gt;0.9999999999,#REF!,IF(#REF!&gt;0.000000001,#REF!,"Error"))))</f>
        <v>#REF!</v>
      </c>
      <c r="L76" s="13" t="e">
        <f>IF(K76&gt;J76,(1+E76*0.04)*#REF!*D76,0)</f>
        <v>#REF!</v>
      </c>
      <c r="M76" s="13" t="e">
        <f>IF(K76&gt;J76,G76^2*#REF!*D76*$B$5,0)</f>
        <v>#REF!</v>
      </c>
    </row>
    <row r="77" spans="2:13" x14ac:dyDescent="0.25">
      <c r="B77" s="2">
        <v>4</v>
      </c>
      <c r="C77" s="2" t="e">
        <f>#REF!</f>
        <v>#REF!</v>
      </c>
      <c r="D77" s="12" t="e">
        <f>IF(B77=1,#REF!,IF(B77=2,#REF!,IF(B77=3,#REF!,IF(B77=4,#REF!,IF(B77=5,#REF!,IF(B77=6,#REF!,IF(B77=7,#REF!,IF(B77=8,#REF!, IF(B77=9,#REF!,IF(B77=10,#REF!,IF(B77=11,#REF!,”Error”)))))))))))</f>
        <v>#REF!</v>
      </c>
      <c r="E77" s="12" t="e">
        <f>IF(#REF!="Si",1,IF(#REF!="No",0))</f>
        <v>#REF!</v>
      </c>
      <c r="F77" s="12" t="e">
        <f>IF(#REF!="Trifásico",3,IF(#REF!="Monofásico trifilar",2,IF(#REF!="Monofásico bifilar",1)))</f>
        <v>#REF!</v>
      </c>
      <c r="G77" s="22" t="e">
        <f>IF(#REF!="Trifásico",(#REF!)/(SQRT(3)*#REF!),IF(#REF!="Monofásico trifilar",(#REF!)/(#REF!),IF(#REF!="Monofásico bifilar",(#REF!)/(#REF!))))*(1+#REF!)</f>
        <v>#REF!</v>
      </c>
      <c r="H77" s="9" t="e">
        <f>IF(F77=3,#REF!*3*((Costos!G77/#REF!)^2)*#REF!*Costos!D77*Costos!$B$4,IF(F77=2,#REF!*2*((Costos!G77/#REF!)^2)*#REF!*Costos!D77*Costos!$B$4,IF(F77=1,#REF!*((Costos!G77/#REF!)^2)*#REF!*Costos!D77*Costos!$B$4,"error")))</f>
        <v>#REF!</v>
      </c>
      <c r="I77" s="9" t="e">
        <f>#REF!*#REF!*#REF!*1000</f>
        <v>#REF!</v>
      </c>
      <c r="J77" s="72" t="e">
        <f t="shared" si="1"/>
        <v>#REF!</v>
      </c>
      <c r="K77" s="72" t="e">
        <f>IF(#REF!&gt;57.5,#REF!,IF(#REF!&gt;29.99999999,#REF!,IF(#REF!&gt;0.9999999999,#REF!,IF(#REF!&gt;0.000000001,#REF!,"Error"))))</f>
        <v>#REF!</v>
      </c>
      <c r="L77" s="13" t="e">
        <f>IF(K77&gt;J77,(1+E77*0.04)*#REF!*D77,0)</f>
        <v>#REF!</v>
      </c>
      <c r="M77" s="13" t="e">
        <f>IF(K77&gt;J77,G77^2*#REF!*D77*$B$5,0)</f>
        <v>#REF!</v>
      </c>
    </row>
    <row r="78" spans="2:13" x14ac:dyDescent="0.25">
      <c r="B78" s="2">
        <v>4</v>
      </c>
      <c r="C78" s="2" t="e">
        <f>#REF!</f>
        <v>#REF!</v>
      </c>
      <c r="D78" s="12" t="e">
        <f>IF(B78=1,#REF!,IF(B78=2,#REF!,IF(B78=3,#REF!,IF(B78=4,#REF!,IF(B78=5,#REF!,IF(B78=6,#REF!,IF(B78=7,#REF!,IF(B78=8,#REF!, IF(B78=9,#REF!,IF(B78=10,#REF!,IF(B78=11,#REF!,”Error”)))))))))))</f>
        <v>#REF!</v>
      </c>
      <c r="E78" s="12" t="e">
        <f>IF(#REF!="Si",1,IF(#REF!="No",0))</f>
        <v>#REF!</v>
      </c>
      <c r="F78" s="12" t="e">
        <f>IF(#REF!="Trifásico",3,IF(#REF!="Monofásico trifilar",2,IF(#REF!="Monofásico bifilar",1)))</f>
        <v>#REF!</v>
      </c>
      <c r="G78" s="22" t="e">
        <f>IF(#REF!="Trifásico",(#REF!)/(SQRT(3)*#REF!),IF(#REF!="Monofásico trifilar",(#REF!)/(#REF!),IF(#REF!="Monofásico bifilar",(#REF!)/(#REF!))))*(1+#REF!)</f>
        <v>#REF!</v>
      </c>
      <c r="H78" s="9" t="e">
        <f>IF(F78=3,#REF!*3*((Costos!G78/#REF!)^2)*#REF!*Costos!D78*Costos!$B$4,IF(F78=2,#REF!*2*((Costos!G78/#REF!)^2)*#REF!*Costos!D78*Costos!$B$4,IF(F78=1,#REF!*((Costos!G78/#REF!)^2)*#REF!*Costos!D78*Costos!$B$4,"error")))</f>
        <v>#REF!</v>
      </c>
      <c r="I78" s="9" t="e">
        <f>#REF!*#REF!*#REF!*1000</f>
        <v>#REF!</v>
      </c>
      <c r="J78" s="72" t="e">
        <f t="shared" si="1"/>
        <v>#REF!</v>
      </c>
      <c r="K78" s="72" t="e">
        <f>IF(#REF!&gt;57.5,#REF!,IF(#REF!&gt;29.99999999,#REF!,IF(#REF!&gt;0.9999999999,#REF!,IF(#REF!&gt;0.000000001,#REF!,"Error"))))</f>
        <v>#REF!</v>
      </c>
      <c r="L78" s="13" t="e">
        <f>IF(K78&gt;J78,(1+E78*0.04)*#REF!*D78,0)</f>
        <v>#REF!</v>
      </c>
      <c r="M78" s="13" t="e">
        <f>IF(K78&gt;J78,G78^2*#REF!*D78*$B$5,0)</f>
        <v>#REF!</v>
      </c>
    </row>
    <row r="79" spans="2:13" x14ac:dyDescent="0.25">
      <c r="B79" s="2">
        <v>4</v>
      </c>
      <c r="C79" s="2" t="e">
        <f>#REF!</f>
        <v>#REF!</v>
      </c>
      <c r="D79" s="12" t="e">
        <f>IF(B79=1,#REF!,IF(B79=2,#REF!,IF(B79=3,#REF!,IF(B79=4,#REF!,IF(B79=5,#REF!,IF(B79=6,#REF!,IF(B79=7,#REF!,IF(B79=8,#REF!, IF(B79=9,#REF!,IF(B79=10,#REF!,IF(B79=11,#REF!,”Error”)))))))))))</f>
        <v>#REF!</v>
      </c>
      <c r="E79" s="12" t="e">
        <f>IF(#REF!="Si",1,IF(#REF!="No",0))</f>
        <v>#REF!</v>
      </c>
      <c r="F79" s="12" t="e">
        <f>IF(#REF!="Trifásico",3,IF(#REF!="Monofásico trifilar",2,IF(#REF!="Monofásico bifilar",1)))</f>
        <v>#REF!</v>
      </c>
      <c r="G79" s="22" t="e">
        <f>IF(#REF!="Trifásico",(#REF!)/(SQRT(3)*#REF!),IF(#REF!="Monofásico trifilar",(#REF!)/(#REF!),IF(#REF!="Monofásico bifilar",(#REF!)/(#REF!))))*(1+#REF!)</f>
        <v>#REF!</v>
      </c>
      <c r="H79" s="9" t="e">
        <f>IF(F79=3,#REF!*3*((Costos!G79/#REF!)^2)*#REF!*Costos!D79*Costos!$B$4,IF(F79=2,#REF!*2*((Costos!G79/#REF!)^2)*#REF!*Costos!D79*Costos!$B$4,IF(F79=1,#REF!*((Costos!G79/#REF!)^2)*#REF!*Costos!D79*Costos!$B$4,"error")))</f>
        <v>#REF!</v>
      </c>
      <c r="I79" s="9" t="e">
        <f>#REF!*#REF!*#REF!*1000</f>
        <v>#REF!</v>
      </c>
      <c r="J79" s="72" t="e">
        <f t="shared" si="1"/>
        <v>#REF!</v>
      </c>
      <c r="K79" s="72" t="e">
        <f>IF(#REF!&gt;57.5,#REF!,IF(#REF!&gt;29.99999999,#REF!,IF(#REF!&gt;0.9999999999,#REF!,IF(#REF!&gt;0.000000001,#REF!,"Error"))))</f>
        <v>#REF!</v>
      </c>
      <c r="L79" s="13" t="e">
        <f>IF(K79&gt;J79,(1+E79*0.04)*#REF!*D79,0)</f>
        <v>#REF!</v>
      </c>
      <c r="M79" s="13" t="e">
        <f>IF(K79&gt;J79,G79^2*#REF!*D79*$B$5,0)</f>
        <v>#REF!</v>
      </c>
    </row>
    <row r="80" spans="2:13" x14ac:dyDescent="0.25">
      <c r="B80" s="2">
        <v>4</v>
      </c>
      <c r="C80" s="2" t="e">
        <f>#REF!</f>
        <v>#REF!</v>
      </c>
      <c r="D80" s="12" t="e">
        <f>IF(B80=1,#REF!,IF(B80=2,#REF!,IF(B80=3,#REF!,IF(B80=4,#REF!,IF(B80=5,#REF!,IF(B80=6,#REF!,IF(B80=7,#REF!,IF(B80=8,#REF!, IF(B80=9,#REF!,IF(B80=10,#REF!,IF(B80=11,#REF!,”Error”)))))))))))</f>
        <v>#REF!</v>
      </c>
      <c r="E80" s="12" t="e">
        <f>IF(#REF!="Si",1,IF(#REF!="No",0))</f>
        <v>#REF!</v>
      </c>
      <c r="F80" s="12" t="e">
        <f>IF(#REF!="Trifásico",3,IF(#REF!="Monofásico trifilar",2,IF(#REF!="Monofásico bifilar",1)))</f>
        <v>#REF!</v>
      </c>
      <c r="G80" s="22" t="e">
        <f>IF(#REF!="Trifásico",(#REF!)/(SQRT(3)*#REF!),IF(#REF!="Monofásico trifilar",(#REF!)/(#REF!),IF(#REF!="Monofásico bifilar",(#REF!)/(#REF!))))*(1+#REF!)</f>
        <v>#REF!</v>
      </c>
      <c r="H80" s="9" t="e">
        <f>IF(F80=3,#REF!*3*((Costos!G80/#REF!)^2)*#REF!*Costos!D80*Costos!$B$4,IF(F80=2,#REF!*2*((Costos!G80/#REF!)^2)*#REF!*Costos!D80*Costos!$B$4,IF(F80=1,#REF!*((Costos!G80/#REF!)^2)*#REF!*Costos!D80*Costos!$B$4,"error")))</f>
        <v>#REF!</v>
      </c>
      <c r="I80" s="9" t="e">
        <f>#REF!*#REF!*#REF!*1000</f>
        <v>#REF!</v>
      </c>
      <c r="J80" s="72" t="e">
        <f t="shared" si="1"/>
        <v>#REF!</v>
      </c>
      <c r="K80" s="72" t="e">
        <f>IF(#REF!&gt;57.5,#REF!,IF(#REF!&gt;29.99999999,#REF!,IF(#REF!&gt;0.9999999999,#REF!,IF(#REF!&gt;0.000000001,#REF!,"Error"))))</f>
        <v>#REF!</v>
      </c>
      <c r="L80" s="13" t="e">
        <f>IF(K80&gt;J80,(1+E80*0.04)*#REF!*D80,0)</f>
        <v>#REF!</v>
      </c>
      <c r="M80" s="13" t="e">
        <f>IF(K80&gt;J80,G80^2*#REF!*D80*$B$5,0)</f>
        <v>#REF!</v>
      </c>
    </row>
    <row r="81" spans="2:13" x14ac:dyDescent="0.25">
      <c r="B81" s="2">
        <v>4</v>
      </c>
      <c r="C81" s="2" t="e">
        <f>#REF!</f>
        <v>#REF!</v>
      </c>
      <c r="D81" s="12" t="e">
        <f>IF(B81=1,#REF!,IF(B81=2,#REF!,IF(B81=3,#REF!,IF(B81=4,#REF!,IF(B81=5,#REF!,IF(B81=6,#REF!,IF(B81=7,#REF!,IF(B81=8,#REF!, IF(B81=9,#REF!,IF(B81=10,#REF!,IF(B81=11,#REF!,”Error”)))))))))))</f>
        <v>#REF!</v>
      </c>
      <c r="E81" s="12" t="e">
        <f>IF(#REF!="Si",1,IF(#REF!="No",0))</f>
        <v>#REF!</v>
      </c>
      <c r="F81" s="12" t="e">
        <f>IF(#REF!="Trifásico",3,IF(#REF!="Monofásico trifilar",2,IF(#REF!="Monofásico bifilar",1)))</f>
        <v>#REF!</v>
      </c>
      <c r="G81" s="22" t="e">
        <f>IF(#REF!="Trifásico",(#REF!)/(SQRT(3)*#REF!),IF(#REF!="Monofásico trifilar",(#REF!)/(#REF!),IF(#REF!="Monofásico bifilar",(#REF!)/(#REF!))))*(1+#REF!)</f>
        <v>#REF!</v>
      </c>
      <c r="H81" s="9" t="e">
        <f>IF(F81=3,#REF!*3*((Costos!G81/#REF!)^2)*#REF!*Costos!D81*Costos!$B$4,IF(F81=2,#REF!*2*((Costos!G81/#REF!)^2)*#REF!*Costos!D81*Costos!$B$4,IF(F81=1,#REF!*((Costos!G81/#REF!)^2)*#REF!*Costos!D81*Costos!$B$4,"error")))</f>
        <v>#REF!</v>
      </c>
      <c r="I81" s="9" t="e">
        <f>#REF!*#REF!*#REF!*1000</f>
        <v>#REF!</v>
      </c>
      <c r="J81" s="72" t="e">
        <f t="shared" si="1"/>
        <v>#REF!</v>
      </c>
      <c r="K81" s="72" t="e">
        <f>IF(#REF!&gt;57.5,#REF!,IF(#REF!&gt;29.99999999,#REF!,IF(#REF!&gt;0.9999999999,#REF!,IF(#REF!&gt;0.000000001,#REF!,"Error"))))</f>
        <v>#REF!</v>
      </c>
      <c r="L81" s="13" t="e">
        <f>IF(K81&gt;J81,(1+E81*0.04)*#REF!*D81,0)</f>
        <v>#REF!</v>
      </c>
      <c r="M81" s="13" t="e">
        <f>IF(K81&gt;J81,G81^2*#REF!*D81*$B$5,0)</f>
        <v>#REF!</v>
      </c>
    </row>
    <row r="82" spans="2:13" x14ac:dyDescent="0.25">
      <c r="B82" s="2">
        <v>4</v>
      </c>
      <c r="C82" s="2" t="e">
        <f>#REF!</f>
        <v>#REF!</v>
      </c>
      <c r="D82" s="12" t="e">
        <f>IF(B82=1,#REF!,IF(B82=2,#REF!,IF(B82=3,#REF!,IF(B82=4,#REF!,IF(B82=5,#REF!,IF(B82=6,#REF!,IF(B82=7,#REF!,IF(B82=8,#REF!, IF(B82=9,#REF!,IF(B82=10,#REF!,IF(B82=11,#REF!,”Error”)))))))))))</f>
        <v>#REF!</v>
      </c>
      <c r="E82" s="12" t="e">
        <f>IF(#REF!="Si",1,IF(#REF!="No",0))</f>
        <v>#REF!</v>
      </c>
      <c r="F82" s="12" t="e">
        <f>IF(#REF!="Trifásico",3,IF(#REF!="Monofásico trifilar",2,IF(#REF!="Monofásico bifilar",1)))</f>
        <v>#REF!</v>
      </c>
      <c r="G82" s="22" t="e">
        <f>IF(#REF!="Trifásico",(#REF!)/(SQRT(3)*#REF!),IF(#REF!="Monofásico trifilar",(#REF!)/(#REF!),IF(#REF!="Monofásico bifilar",(#REF!)/(#REF!))))*(1+#REF!)</f>
        <v>#REF!</v>
      </c>
      <c r="H82" s="9" t="e">
        <f>IF(F82=3,#REF!*3*((Costos!G82/#REF!)^2)*#REF!*Costos!D82*Costos!$B$4,IF(F82=2,#REF!*2*((Costos!G82/#REF!)^2)*#REF!*Costos!D82*Costos!$B$4,IF(F82=1,#REF!*((Costos!G82/#REF!)^2)*#REF!*Costos!D82*Costos!$B$4,"error")))</f>
        <v>#REF!</v>
      </c>
      <c r="I82" s="9" t="e">
        <f>#REF!*#REF!*#REF!*1000</f>
        <v>#REF!</v>
      </c>
      <c r="J82" s="72" t="e">
        <f t="shared" si="1"/>
        <v>#REF!</v>
      </c>
      <c r="K82" s="72" t="e">
        <f>IF(#REF!&gt;57.5,#REF!,IF(#REF!&gt;29.99999999,#REF!,IF(#REF!&gt;0.9999999999,#REF!,IF(#REF!&gt;0.000000001,#REF!,"Error"))))</f>
        <v>#REF!</v>
      </c>
      <c r="L82" s="13" t="e">
        <f>IF(K82&gt;J82,(1+E82*0.04)*#REF!*D82,0)</f>
        <v>#REF!</v>
      </c>
      <c r="M82" s="13" t="e">
        <f>IF(K82&gt;J82,G82^2*#REF!*D82*$B$5,0)</f>
        <v>#REF!</v>
      </c>
    </row>
    <row r="83" spans="2:13" x14ac:dyDescent="0.25">
      <c r="B83" s="2">
        <v>4</v>
      </c>
      <c r="C83" s="2" t="e">
        <f>#REF!</f>
        <v>#REF!</v>
      </c>
      <c r="D83" s="12" t="e">
        <f>IF(B83=1,#REF!,IF(B83=2,#REF!,IF(B83=3,#REF!,IF(B83=4,#REF!,IF(B83=5,#REF!,IF(B83=6,#REF!,IF(B83=7,#REF!,IF(B83=8,#REF!, IF(B83=9,#REF!,IF(B83=10,#REF!,IF(B83=11,#REF!,”Error”)))))))))))</f>
        <v>#REF!</v>
      </c>
      <c r="E83" s="12" t="e">
        <f>IF(#REF!="Si",1,IF(#REF!="No",0))</f>
        <v>#REF!</v>
      </c>
      <c r="F83" s="12" t="e">
        <f>IF(#REF!="Trifásico",3,IF(#REF!="Monofásico trifilar",2,IF(#REF!="Monofásico bifilar",1)))</f>
        <v>#REF!</v>
      </c>
      <c r="G83" s="22" t="e">
        <f>IF(#REF!="Trifásico",(#REF!)/(SQRT(3)*#REF!),IF(#REF!="Monofásico trifilar",(#REF!)/(#REF!),IF(#REF!="Monofásico bifilar",(#REF!)/(#REF!))))*(1+#REF!)</f>
        <v>#REF!</v>
      </c>
      <c r="H83" s="9" t="e">
        <f>IF(F83=3,#REF!*3*((Costos!G83/#REF!)^2)*#REF!*Costos!D83*Costos!$B$4,IF(F83=2,#REF!*2*((Costos!G83/#REF!)^2)*#REF!*Costos!D83*Costos!$B$4,IF(F83=1,#REF!*((Costos!G83/#REF!)^2)*#REF!*Costos!D83*Costos!$B$4,"error")))</f>
        <v>#REF!</v>
      </c>
      <c r="I83" s="9" t="e">
        <f>#REF!*#REF!*#REF!*1000</f>
        <v>#REF!</v>
      </c>
      <c r="J83" s="72" t="e">
        <f t="shared" si="1"/>
        <v>#REF!</v>
      </c>
      <c r="K83" s="72" t="e">
        <f>IF(#REF!&gt;57.5,#REF!,IF(#REF!&gt;29.99999999,#REF!,IF(#REF!&gt;0.9999999999,#REF!,IF(#REF!&gt;0.000000001,#REF!,"Error"))))</f>
        <v>#REF!</v>
      </c>
      <c r="L83" s="13" t="e">
        <f>IF(K83&gt;J83,(1+E83*0.04)*#REF!*D83,0)</f>
        <v>#REF!</v>
      </c>
      <c r="M83" s="13" t="e">
        <f>IF(K83&gt;J83,G83^2*#REF!*D83*$B$5,0)</f>
        <v>#REF!</v>
      </c>
    </row>
    <row r="84" spans="2:13" x14ac:dyDescent="0.25">
      <c r="B84" s="2">
        <v>4</v>
      </c>
      <c r="C84" s="2" t="e">
        <f>#REF!</f>
        <v>#REF!</v>
      </c>
      <c r="D84" s="12" t="e">
        <f>IF(B84=1,#REF!,IF(B84=2,#REF!,IF(B84=3,#REF!,IF(B84=4,#REF!,IF(B84=5,#REF!,IF(B84=6,#REF!,IF(B84=7,#REF!,IF(B84=8,#REF!, IF(B84=9,#REF!,IF(B84=10,#REF!,IF(B84=11,#REF!,”Error”)))))))))))</f>
        <v>#REF!</v>
      </c>
      <c r="E84" s="12" t="e">
        <f>IF(#REF!="Si",1,IF(#REF!="No",0))</f>
        <v>#REF!</v>
      </c>
      <c r="F84" s="12" t="e">
        <f>IF(#REF!="Trifásico",3,IF(#REF!="Monofásico trifilar",2,IF(#REF!="Monofásico bifilar",1)))</f>
        <v>#REF!</v>
      </c>
      <c r="G84" s="22" t="e">
        <f>IF(#REF!="Trifásico",(#REF!)/(SQRT(3)*#REF!),IF(#REF!="Monofásico trifilar",(#REF!)/(#REF!),IF(#REF!="Monofásico bifilar",(#REF!)/(#REF!))))*(1+#REF!)</f>
        <v>#REF!</v>
      </c>
      <c r="H84" s="9" t="e">
        <f>IF(F84=3,#REF!*3*((Costos!G84/#REF!)^2)*#REF!*Costos!D84*Costos!$B$4,IF(F84=2,#REF!*2*((Costos!G84/#REF!)^2)*#REF!*Costos!D84*Costos!$B$4,IF(F84=1,#REF!*((Costos!G84/#REF!)^2)*#REF!*Costos!D84*Costos!$B$4,"error")))</f>
        <v>#REF!</v>
      </c>
      <c r="I84" s="9" t="e">
        <f>#REF!*#REF!*#REF!*1000</f>
        <v>#REF!</v>
      </c>
      <c r="J84" s="72" t="e">
        <f t="shared" si="1"/>
        <v>#REF!</v>
      </c>
      <c r="K84" s="72" t="e">
        <f>IF(#REF!&gt;57.5,#REF!,IF(#REF!&gt;29.99999999,#REF!,IF(#REF!&gt;0.9999999999,#REF!,IF(#REF!&gt;0.000000001,#REF!,"Error"))))</f>
        <v>#REF!</v>
      </c>
      <c r="L84" s="13" t="e">
        <f>IF(K84&gt;J84,(1+E84*0.04)*#REF!*D84,0)</f>
        <v>#REF!</v>
      </c>
      <c r="M84" s="13" t="e">
        <f>IF(K84&gt;J84,G84^2*#REF!*D84*$B$5,0)</f>
        <v>#REF!</v>
      </c>
    </row>
    <row r="85" spans="2:13" x14ac:dyDescent="0.25">
      <c r="B85" s="2">
        <v>4</v>
      </c>
      <c r="C85" s="2" t="e">
        <f>#REF!</f>
        <v>#REF!</v>
      </c>
      <c r="D85" s="12" t="e">
        <f>IF(B85=1,#REF!,IF(B85=2,#REF!,IF(B85=3,#REF!,IF(B85=4,#REF!,IF(B85=5,#REF!,IF(B85=6,#REF!,IF(B85=7,#REF!,IF(B85=8,#REF!, IF(B85=9,#REF!,IF(B85=10,#REF!,IF(B85=11,#REF!,”Error”)))))))))))</f>
        <v>#REF!</v>
      </c>
      <c r="E85" s="12" t="e">
        <f>IF(#REF!="Si",1,IF(#REF!="No",0))</f>
        <v>#REF!</v>
      </c>
      <c r="F85" s="12" t="e">
        <f>IF(#REF!="Trifásico",3,IF(#REF!="Monofásico trifilar",2,IF(#REF!="Monofásico bifilar",1)))</f>
        <v>#REF!</v>
      </c>
      <c r="G85" s="22" t="e">
        <f>IF(#REF!="Trifásico",(#REF!)/(SQRT(3)*#REF!),IF(#REF!="Monofásico trifilar",(#REF!)/(#REF!),IF(#REF!="Monofásico bifilar",(#REF!)/(#REF!))))*(1+#REF!)</f>
        <v>#REF!</v>
      </c>
      <c r="H85" s="9" t="e">
        <f>IF(F85=3,#REF!*3*((Costos!G85/#REF!)^2)*#REF!*Costos!D85*Costos!$B$4,IF(F85=2,#REF!*2*((Costos!G85/#REF!)^2)*#REF!*Costos!D85*Costos!$B$4,IF(F85=1,#REF!*((Costos!G85/#REF!)^2)*#REF!*Costos!D85*Costos!$B$4,"error")))</f>
        <v>#REF!</v>
      </c>
      <c r="I85" s="9" t="e">
        <f>#REF!*#REF!*#REF!*1000</f>
        <v>#REF!</v>
      </c>
      <c r="J85" s="72" t="e">
        <f t="shared" si="1"/>
        <v>#REF!</v>
      </c>
      <c r="K85" s="72" t="e">
        <f>IF(#REF!&gt;57.5,#REF!,IF(#REF!&gt;29.99999999,#REF!,IF(#REF!&gt;0.9999999999,#REF!,IF(#REF!&gt;0.000000001,#REF!,"Error"))))</f>
        <v>#REF!</v>
      </c>
      <c r="L85" s="13" t="e">
        <f>IF(K85&gt;J85,(1+E85*0.04)*#REF!*D85,0)</f>
        <v>#REF!</v>
      </c>
      <c r="M85" s="13" t="e">
        <f>IF(K85&gt;J85,G85^2*#REF!*D85*$B$5,0)</f>
        <v>#REF!</v>
      </c>
    </row>
    <row r="86" spans="2:13" x14ac:dyDescent="0.25">
      <c r="B86" s="2">
        <v>4</v>
      </c>
      <c r="C86" s="2" t="e">
        <f>#REF!</f>
        <v>#REF!</v>
      </c>
      <c r="D86" s="12" t="e">
        <f>IF(B86=1,#REF!,IF(B86=2,#REF!,IF(B86=3,#REF!,IF(B86=4,#REF!,IF(B86=5,#REF!,IF(B86=6,#REF!,IF(B86=7,#REF!,IF(B86=8,#REF!, IF(B86=9,#REF!,IF(B86=10,#REF!,IF(B86=11,#REF!,”Error”)))))))))))</f>
        <v>#REF!</v>
      </c>
      <c r="E86" s="12" t="e">
        <f>IF(#REF!="Si",1,IF(#REF!="No",0))</f>
        <v>#REF!</v>
      </c>
      <c r="F86" s="12" t="e">
        <f>IF(#REF!="Trifásico",3,IF(#REF!="Monofásico trifilar",2,IF(#REF!="Monofásico bifilar",1)))</f>
        <v>#REF!</v>
      </c>
      <c r="G86" s="22" t="e">
        <f>IF(#REF!="Trifásico",(#REF!)/(SQRT(3)*#REF!),IF(#REF!="Monofásico trifilar",(#REF!)/(#REF!),IF(#REF!="Monofásico bifilar",(#REF!)/(#REF!))))*(1+#REF!)</f>
        <v>#REF!</v>
      </c>
      <c r="H86" s="9" t="e">
        <f>IF(F86=3,#REF!*3*((Costos!G86/#REF!)^2)*#REF!*Costos!D86*Costos!$B$4,IF(F86=2,#REF!*2*((Costos!G86/#REF!)^2)*#REF!*Costos!D86*Costos!$B$4,IF(F86=1,#REF!*((Costos!G86/#REF!)^2)*#REF!*Costos!D86*Costos!$B$4,"error")))</f>
        <v>#REF!</v>
      </c>
      <c r="I86" s="9" t="e">
        <f>#REF!*#REF!*#REF!*1000</f>
        <v>#REF!</v>
      </c>
      <c r="J86" s="72" t="e">
        <f t="shared" si="1"/>
        <v>#REF!</v>
      </c>
      <c r="K86" s="72" t="e">
        <f>IF(#REF!&gt;57.5,#REF!,IF(#REF!&gt;29.99999999,#REF!,IF(#REF!&gt;0.9999999999,#REF!,IF(#REF!&gt;0.000000001,#REF!,"Error"))))</f>
        <v>#REF!</v>
      </c>
      <c r="L86" s="13" t="e">
        <f>IF(K86&gt;J86,(1+E86*0.04)*#REF!*D86,0)</f>
        <v>#REF!</v>
      </c>
      <c r="M86" s="13" t="e">
        <f>IF(K86&gt;J86,G86^2*#REF!*D86*$B$5,0)</f>
        <v>#REF!</v>
      </c>
    </row>
    <row r="87" spans="2:13" x14ac:dyDescent="0.25">
      <c r="B87" s="2">
        <v>4</v>
      </c>
      <c r="C87" s="2" t="e">
        <f>#REF!</f>
        <v>#REF!</v>
      </c>
      <c r="D87" s="12" t="e">
        <f>IF(B87=1,#REF!,IF(B87=2,#REF!,IF(B87=3,#REF!,IF(B87=4,#REF!,IF(B87=5,#REF!,IF(B87=6,#REF!,IF(B87=7,#REF!,IF(B87=8,#REF!, IF(B87=9,#REF!,IF(B87=10,#REF!,IF(B87=11,#REF!,”Error”)))))))))))</f>
        <v>#REF!</v>
      </c>
      <c r="E87" s="12" t="e">
        <f>IF(#REF!="Si",1,IF(#REF!="No",0))</f>
        <v>#REF!</v>
      </c>
      <c r="F87" s="12" t="e">
        <f>IF(#REF!="Trifásico",3,IF(#REF!="Monofásico trifilar",2,IF(#REF!="Monofásico bifilar",1)))</f>
        <v>#REF!</v>
      </c>
      <c r="G87" s="22" t="e">
        <f>IF(#REF!="Trifásico",(#REF!)/(SQRT(3)*#REF!),IF(#REF!="Monofásico trifilar",(#REF!)/(#REF!),IF(#REF!="Monofásico bifilar",(#REF!)/(#REF!))))*(1+#REF!)</f>
        <v>#REF!</v>
      </c>
      <c r="H87" s="9" t="e">
        <f>IF(F87=3,#REF!*3*((Costos!G87/#REF!)^2)*#REF!*Costos!D87*Costos!$B$4,IF(F87=2,#REF!*2*((Costos!G87/#REF!)^2)*#REF!*Costos!D87*Costos!$B$4,IF(F87=1,#REF!*((Costos!G87/#REF!)^2)*#REF!*Costos!D87*Costos!$B$4,"error")))</f>
        <v>#REF!</v>
      </c>
      <c r="I87" s="9" t="e">
        <f>#REF!*#REF!*#REF!*1000</f>
        <v>#REF!</v>
      </c>
      <c r="J87" s="72" t="e">
        <f t="shared" si="1"/>
        <v>#REF!</v>
      </c>
      <c r="K87" s="72" t="e">
        <f>IF(#REF!&gt;57.5,#REF!,IF(#REF!&gt;29.99999999,#REF!,IF(#REF!&gt;0.9999999999,#REF!,IF(#REF!&gt;0.000000001,#REF!,"Error"))))</f>
        <v>#REF!</v>
      </c>
      <c r="L87" s="13" t="e">
        <f>IF(K87&gt;J87,(1+E87*0.04)*#REF!*D87,0)</f>
        <v>#REF!</v>
      </c>
      <c r="M87" s="13" t="e">
        <f>IF(K87&gt;J87,G87^2*#REF!*D87*$B$5,0)</f>
        <v>#REF!</v>
      </c>
    </row>
    <row r="88" spans="2:13" x14ac:dyDescent="0.25">
      <c r="B88" s="2">
        <v>4</v>
      </c>
      <c r="C88" s="2" t="e">
        <f>#REF!</f>
        <v>#REF!</v>
      </c>
      <c r="D88" s="12" t="e">
        <f>IF(B88=1,#REF!,IF(B88=2,#REF!,IF(B88=3,#REF!,IF(B88=4,#REF!,IF(B88=5,#REF!,IF(B88=6,#REF!,IF(B88=7,#REF!,IF(B88=8,#REF!, IF(B88=9,#REF!,IF(B88=10,#REF!,IF(B88=11,#REF!,”Error”)))))))))))</f>
        <v>#REF!</v>
      </c>
      <c r="E88" s="12" t="e">
        <f>IF(#REF!="Si",1,IF(#REF!="No",0))</f>
        <v>#REF!</v>
      </c>
      <c r="F88" s="12" t="e">
        <f>IF(#REF!="Trifásico",3,IF(#REF!="Monofásico trifilar",2,IF(#REF!="Monofásico bifilar",1)))</f>
        <v>#REF!</v>
      </c>
      <c r="G88" s="22" t="e">
        <f>IF(#REF!="Trifásico",(#REF!)/(SQRT(3)*#REF!),IF(#REF!="Monofásico trifilar",(#REF!)/(#REF!),IF(#REF!="Monofásico bifilar",(#REF!)/(#REF!))))*(1+#REF!)</f>
        <v>#REF!</v>
      </c>
      <c r="H88" s="9" t="e">
        <f>IF(F88=3,#REF!*3*((Costos!G88/#REF!)^2)*#REF!*Costos!D88*Costos!$B$4,IF(F88=2,#REF!*2*((Costos!G88/#REF!)^2)*#REF!*Costos!D88*Costos!$B$4,IF(F88=1,#REF!*((Costos!G88/#REF!)^2)*#REF!*Costos!D88*Costos!$B$4,"error")))</f>
        <v>#REF!</v>
      </c>
      <c r="I88" s="9" t="e">
        <f>#REF!*#REF!*#REF!*1000</f>
        <v>#REF!</v>
      </c>
      <c r="J88" s="72" t="e">
        <f t="shared" si="1"/>
        <v>#REF!</v>
      </c>
      <c r="K88" s="72" t="e">
        <f>IF(#REF!&gt;57.5,#REF!,IF(#REF!&gt;29.99999999,#REF!,IF(#REF!&gt;0.9999999999,#REF!,IF(#REF!&gt;0.000000001,#REF!,"Error"))))</f>
        <v>#REF!</v>
      </c>
      <c r="L88" s="13" t="e">
        <f>IF(K88&gt;J88,(1+E88*0.04)*#REF!*D88,0)</f>
        <v>#REF!</v>
      </c>
      <c r="M88" s="13" t="e">
        <f>IF(K88&gt;J88,G88^2*#REF!*D88*$B$5,0)</f>
        <v>#REF!</v>
      </c>
    </row>
    <row r="89" spans="2:13" x14ac:dyDescent="0.25">
      <c r="B89" s="2">
        <v>4</v>
      </c>
      <c r="C89" s="2" t="e">
        <f>#REF!</f>
        <v>#REF!</v>
      </c>
      <c r="D89" s="12" t="e">
        <f>IF(B89=1,#REF!,IF(B89=2,#REF!,IF(B89=3,#REF!,IF(B89=4,#REF!,IF(B89=5,#REF!,IF(B89=6,#REF!,IF(B89=7,#REF!,IF(B89=8,#REF!, IF(B89=9,#REF!,IF(B89=10,#REF!,IF(B89=11,#REF!,”Error”)))))))))))</f>
        <v>#REF!</v>
      </c>
      <c r="E89" s="12" t="e">
        <f>IF(#REF!="Si",1,IF(#REF!="No",0))</f>
        <v>#REF!</v>
      </c>
      <c r="F89" s="12" t="e">
        <f>IF(#REF!="Trifásico",3,IF(#REF!="Monofásico trifilar",2,IF(#REF!="Monofásico bifilar",1)))</f>
        <v>#REF!</v>
      </c>
      <c r="G89" s="22" t="e">
        <f>IF(#REF!="Trifásico",(#REF!)/(SQRT(3)*#REF!),IF(#REF!="Monofásico trifilar",(#REF!)/(#REF!),IF(#REF!="Monofásico bifilar",(#REF!)/(#REF!))))*(1+#REF!)</f>
        <v>#REF!</v>
      </c>
      <c r="H89" s="9" t="e">
        <f>IF(F89=3,#REF!*3*((Costos!G89/#REF!)^2)*#REF!*Costos!D89*Costos!$B$4,IF(F89=2,#REF!*2*((Costos!G89/#REF!)^2)*#REF!*Costos!D89*Costos!$B$4,IF(F89=1,#REF!*((Costos!G89/#REF!)^2)*#REF!*Costos!D89*Costos!$B$4,"error")))</f>
        <v>#REF!</v>
      </c>
      <c r="I89" s="9" t="e">
        <f>#REF!*#REF!*#REF!*1000</f>
        <v>#REF!</v>
      </c>
      <c r="J89" s="72" t="e">
        <f t="shared" si="1"/>
        <v>#REF!</v>
      </c>
      <c r="K89" s="72" t="e">
        <f>IF(#REF!&gt;57.5,#REF!,IF(#REF!&gt;29.99999999,#REF!,IF(#REF!&gt;0.9999999999,#REF!,IF(#REF!&gt;0.000000001,#REF!,"Error"))))</f>
        <v>#REF!</v>
      </c>
      <c r="L89" s="13" t="e">
        <f>IF(K89&gt;J89,(1+E89*0.04)*#REF!*D89,0)</f>
        <v>#REF!</v>
      </c>
      <c r="M89" s="13" t="e">
        <f>IF(K89&gt;J89,G89^2*#REF!*D89*$B$5,0)</f>
        <v>#REF!</v>
      </c>
    </row>
    <row r="90" spans="2:13" x14ac:dyDescent="0.25">
      <c r="B90" s="2">
        <v>4</v>
      </c>
      <c r="C90" s="2" t="e">
        <f>#REF!</f>
        <v>#REF!</v>
      </c>
      <c r="D90" s="12" t="e">
        <f>IF(B90=1,#REF!,IF(B90=2,#REF!,IF(B90=3,#REF!,IF(B90=4,#REF!,IF(B90=5,#REF!,IF(B90=6,#REF!,IF(B90=7,#REF!,IF(B90=8,#REF!, IF(B90=9,#REF!,IF(B90=10,#REF!,IF(B90=11,#REF!,”Error”)))))))))))</f>
        <v>#REF!</v>
      </c>
      <c r="E90" s="12" t="e">
        <f>IF(#REF!="Si",1,IF(#REF!="No",0))</f>
        <v>#REF!</v>
      </c>
      <c r="F90" s="12" t="e">
        <f>IF(#REF!="Trifásico",3,IF(#REF!="Monofásico trifilar",2,IF(#REF!="Monofásico bifilar",1)))</f>
        <v>#REF!</v>
      </c>
      <c r="G90" s="22" t="e">
        <f>IF(#REF!="Trifásico",(#REF!)/(SQRT(3)*#REF!),IF(#REF!="Monofásico trifilar",(#REF!)/(#REF!),IF(#REF!="Monofásico bifilar",(#REF!)/(#REF!))))*(1+#REF!)</f>
        <v>#REF!</v>
      </c>
      <c r="H90" s="9" t="e">
        <f>IF(F90=3,#REF!*3*((Costos!G90/#REF!)^2)*#REF!*Costos!D90*Costos!$B$4,IF(F90=2,#REF!*2*((Costos!G90/#REF!)^2)*#REF!*Costos!D90*Costos!$B$4,IF(F90=1,#REF!*((Costos!G90/#REF!)^2)*#REF!*Costos!D90*Costos!$B$4,"error")))</f>
        <v>#REF!</v>
      </c>
      <c r="I90" s="9" t="e">
        <f>#REF!*#REF!*#REF!*1000</f>
        <v>#REF!</v>
      </c>
      <c r="J90" s="72" t="e">
        <f t="shared" si="1"/>
        <v>#REF!</v>
      </c>
      <c r="K90" s="72" t="e">
        <f>IF(#REF!&gt;57.5,#REF!,IF(#REF!&gt;29.99999999,#REF!,IF(#REF!&gt;0.9999999999,#REF!,IF(#REF!&gt;0.000000001,#REF!,"Error"))))</f>
        <v>#REF!</v>
      </c>
      <c r="L90" s="13" t="e">
        <f>IF(K90&gt;J90,(1+E90*0.04)*#REF!*D90,0)</f>
        <v>#REF!</v>
      </c>
      <c r="M90" s="13" t="e">
        <f>IF(K90&gt;J90,G90^2*#REF!*D90*$B$5,0)</f>
        <v>#REF!</v>
      </c>
    </row>
    <row r="91" spans="2:13" x14ac:dyDescent="0.25">
      <c r="B91" s="2">
        <v>4</v>
      </c>
      <c r="C91" s="2" t="e">
        <f>#REF!</f>
        <v>#REF!</v>
      </c>
      <c r="D91" s="12" t="e">
        <f>IF(B91=1,#REF!,IF(B91=2,#REF!,IF(B91=3,#REF!,IF(B91=4,#REF!,IF(B91=5,#REF!,IF(B91=6,#REF!,IF(B91=7,#REF!,IF(B91=8,#REF!, IF(B91=9,#REF!,IF(B91=10,#REF!,IF(B91=11,#REF!,”Error”)))))))))))</f>
        <v>#REF!</v>
      </c>
      <c r="E91" s="12" t="e">
        <f>IF(#REF!="Si",1,IF(#REF!="No",0))</f>
        <v>#REF!</v>
      </c>
      <c r="F91" s="12" t="e">
        <f>IF(#REF!="Trifásico",3,IF(#REF!="Monofásico trifilar",2,IF(#REF!="Monofásico bifilar",1)))</f>
        <v>#REF!</v>
      </c>
      <c r="G91" s="22" t="e">
        <f>IF(#REF!="Trifásico",(#REF!)/(SQRT(3)*#REF!),IF(#REF!="Monofásico trifilar",(#REF!)/(#REF!),IF(#REF!="Monofásico bifilar",(#REF!)/(#REF!))))*(1+#REF!)</f>
        <v>#REF!</v>
      </c>
      <c r="H91" s="9" t="e">
        <f>IF(F91=3,#REF!*3*((Costos!G91/#REF!)^2)*#REF!*Costos!D91*Costos!$B$4,IF(F91=2,#REF!*2*((Costos!G91/#REF!)^2)*#REF!*Costos!D91*Costos!$B$4,IF(F91=1,#REF!*((Costos!G91/#REF!)^2)*#REF!*Costos!D91*Costos!$B$4,"error")))</f>
        <v>#REF!</v>
      </c>
      <c r="I91" s="9" t="e">
        <f>#REF!*#REF!*#REF!*1000</f>
        <v>#REF!</v>
      </c>
      <c r="J91" s="72" t="e">
        <f t="shared" si="1"/>
        <v>#REF!</v>
      </c>
      <c r="K91" s="72" t="e">
        <f>IF(#REF!&gt;57.5,#REF!,IF(#REF!&gt;29.99999999,#REF!,IF(#REF!&gt;0.9999999999,#REF!,IF(#REF!&gt;0.000000001,#REF!,"Error"))))</f>
        <v>#REF!</v>
      </c>
      <c r="L91" s="13" t="e">
        <f>IF(K91&gt;J91,(1+E91*0.04)*#REF!*D91,0)</f>
        <v>#REF!</v>
      </c>
      <c r="M91" s="13" t="e">
        <f>IF(K91&gt;J91,G91^2*#REF!*D91*$B$5,0)</f>
        <v>#REF!</v>
      </c>
    </row>
    <row r="92" spans="2:13" x14ac:dyDescent="0.25">
      <c r="B92" s="2">
        <v>4</v>
      </c>
      <c r="C92" s="2" t="e">
        <f>#REF!</f>
        <v>#REF!</v>
      </c>
      <c r="D92" s="12" t="e">
        <f>IF(B92=1,#REF!,IF(B92=2,#REF!,IF(B92=3,#REF!,IF(B92=4,#REF!,IF(B92=5,#REF!,IF(B92=6,#REF!,IF(B92=7,#REF!,IF(B92=8,#REF!, IF(B92=9,#REF!,IF(B92=10,#REF!,IF(B92=11,#REF!,”Error”)))))))))))</f>
        <v>#REF!</v>
      </c>
      <c r="E92" s="12" t="e">
        <f>IF(#REF!="Si",1,IF(#REF!="No",0))</f>
        <v>#REF!</v>
      </c>
      <c r="F92" s="12" t="e">
        <f>IF(#REF!="Trifásico",3,IF(#REF!="Monofásico trifilar",2,IF(#REF!="Monofásico bifilar",1)))</f>
        <v>#REF!</v>
      </c>
      <c r="G92" s="22" t="e">
        <f>IF(#REF!="Trifásico",(#REF!)/(SQRT(3)*#REF!),IF(#REF!="Monofásico trifilar",(#REF!)/(#REF!),IF(#REF!="Monofásico bifilar",(#REF!)/(#REF!))))*(1+#REF!)</f>
        <v>#REF!</v>
      </c>
      <c r="H92" s="9" t="e">
        <f>IF(F92=3,#REF!*3*((Costos!G92/#REF!)^2)*#REF!*Costos!D92*Costos!$B$4,IF(F92=2,#REF!*2*((Costos!G92/#REF!)^2)*#REF!*Costos!D92*Costos!$B$4,IF(F92=1,#REF!*((Costos!G92/#REF!)^2)*#REF!*Costos!D92*Costos!$B$4,"error")))</f>
        <v>#REF!</v>
      </c>
      <c r="I92" s="9" t="e">
        <f>#REF!*#REF!*#REF!*1000</f>
        <v>#REF!</v>
      </c>
      <c r="J92" s="72" t="e">
        <f t="shared" si="1"/>
        <v>#REF!</v>
      </c>
      <c r="K92" s="72" t="e">
        <f>IF(#REF!&gt;57.5,#REF!,IF(#REF!&gt;29.99999999,#REF!,IF(#REF!&gt;0.9999999999,#REF!,IF(#REF!&gt;0.000000001,#REF!,"Error"))))</f>
        <v>#REF!</v>
      </c>
      <c r="L92" s="13" t="e">
        <f>IF(K92&gt;J92,(1+E92*0.04)*#REF!*D92,0)</f>
        <v>#REF!</v>
      </c>
      <c r="M92" s="13" t="e">
        <f>IF(K92&gt;J92,G92^2*#REF!*D92*$B$5,0)</f>
        <v>#REF!</v>
      </c>
    </row>
    <row r="93" spans="2:13" x14ac:dyDescent="0.25">
      <c r="B93" s="2">
        <v>4</v>
      </c>
      <c r="C93" s="2" t="e">
        <f>#REF!</f>
        <v>#REF!</v>
      </c>
      <c r="D93" s="12" t="e">
        <f>IF(B93=1,#REF!,IF(B93=2,#REF!,IF(B93=3,#REF!,IF(B93=4,#REF!,IF(B93=5,#REF!,IF(B93=6,#REF!,IF(B93=7,#REF!,IF(B93=8,#REF!, IF(B93=9,#REF!,IF(B93=10,#REF!,IF(B93=11,#REF!,”Error”)))))))))))</f>
        <v>#REF!</v>
      </c>
      <c r="E93" s="12" t="e">
        <f>IF(#REF!="Si",1,IF(#REF!="No",0))</f>
        <v>#REF!</v>
      </c>
      <c r="F93" s="12" t="e">
        <f>IF(#REF!="Trifásico",3,IF(#REF!="Monofásico trifilar",2,IF(#REF!="Monofásico bifilar",1)))</f>
        <v>#REF!</v>
      </c>
      <c r="G93" s="22" t="e">
        <f>IF(#REF!="Trifásico",(#REF!)/(SQRT(3)*#REF!),IF(#REF!="Monofásico trifilar",(#REF!)/(#REF!),IF(#REF!="Monofásico bifilar",(#REF!)/(#REF!))))*(1+#REF!)</f>
        <v>#REF!</v>
      </c>
      <c r="H93" s="9" t="e">
        <f>IF(F93=3,#REF!*3*((Costos!G93/#REF!)^2)*#REF!*Costos!D93*Costos!$B$4,IF(F93=2,#REF!*2*((Costos!G93/#REF!)^2)*#REF!*Costos!D93*Costos!$B$4,IF(F93=1,#REF!*((Costos!G93/#REF!)^2)*#REF!*Costos!D93*Costos!$B$4,"error")))</f>
        <v>#REF!</v>
      </c>
      <c r="I93" s="9" t="e">
        <f>#REF!*#REF!*#REF!*1000</f>
        <v>#REF!</v>
      </c>
      <c r="J93" s="72" t="e">
        <f t="shared" si="1"/>
        <v>#REF!</v>
      </c>
      <c r="K93" s="72" t="e">
        <f>IF(#REF!&gt;57.5,#REF!,IF(#REF!&gt;29.99999999,#REF!,IF(#REF!&gt;0.9999999999,#REF!,IF(#REF!&gt;0.000000001,#REF!,"Error"))))</f>
        <v>#REF!</v>
      </c>
      <c r="L93" s="13" t="e">
        <f>IF(K93&gt;J93,(1+E93*0.04)*#REF!*D93,0)</f>
        <v>#REF!</v>
      </c>
      <c r="M93" s="13" t="e">
        <f>IF(K93&gt;J93,G93^2*#REF!*D93*$B$5,0)</f>
        <v>#REF!</v>
      </c>
    </row>
    <row r="94" spans="2:13" x14ac:dyDescent="0.25">
      <c r="B94" s="2">
        <v>4</v>
      </c>
      <c r="C94" s="2" t="e">
        <f>#REF!</f>
        <v>#REF!</v>
      </c>
      <c r="D94" s="12" t="e">
        <f>IF(B94=1,#REF!,IF(B94=2,#REF!,IF(B94=3,#REF!,IF(B94=4,#REF!,IF(B94=5,#REF!,IF(B94=6,#REF!,IF(B94=7,#REF!,IF(B94=8,#REF!, IF(B94=9,#REF!,IF(B94=10,#REF!,IF(B94=11,#REF!,”Error”)))))))))))</f>
        <v>#REF!</v>
      </c>
      <c r="E94" s="12" t="e">
        <f>IF(#REF!="Si",1,IF(#REF!="No",0))</f>
        <v>#REF!</v>
      </c>
      <c r="F94" s="12" t="e">
        <f>IF(#REF!="Trifásico",3,IF(#REF!="Monofásico trifilar",2,IF(#REF!="Monofásico bifilar",1)))</f>
        <v>#REF!</v>
      </c>
      <c r="G94" s="22" t="e">
        <f>IF(#REF!="Trifásico",(#REF!)/(SQRT(3)*#REF!),IF(#REF!="Monofásico trifilar",(#REF!)/(#REF!),IF(#REF!="Monofásico bifilar",(#REF!)/(#REF!))))*(1+#REF!)</f>
        <v>#REF!</v>
      </c>
      <c r="H94" s="9" t="e">
        <f>IF(F94=3,#REF!*3*((Costos!G94/#REF!)^2)*#REF!*Costos!D94*Costos!$B$4,IF(F94=2,#REF!*2*((Costos!G94/#REF!)^2)*#REF!*Costos!D94*Costos!$B$4,IF(F94=1,#REF!*((Costos!G94/#REF!)^2)*#REF!*Costos!D94*Costos!$B$4,"error")))</f>
        <v>#REF!</v>
      </c>
      <c r="I94" s="9" t="e">
        <f>#REF!*#REF!*#REF!*1000</f>
        <v>#REF!</v>
      </c>
      <c r="J94" s="72" t="e">
        <f t="shared" si="1"/>
        <v>#REF!</v>
      </c>
      <c r="K94" s="72" t="e">
        <f>IF(#REF!&gt;57.5,#REF!,IF(#REF!&gt;29.99999999,#REF!,IF(#REF!&gt;0.9999999999,#REF!,IF(#REF!&gt;0.000000001,#REF!,"Error"))))</f>
        <v>#REF!</v>
      </c>
      <c r="L94" s="13" t="e">
        <f>IF(K94&gt;J94,(1+E94*0.04)*#REF!*D94,0)</f>
        <v>#REF!</v>
      </c>
      <c r="M94" s="13" t="e">
        <f>IF(K94&gt;J94,G94^2*#REF!*D94*$B$5,0)</f>
        <v>#REF!</v>
      </c>
    </row>
    <row r="95" spans="2:13" x14ac:dyDescent="0.25">
      <c r="B95" s="2">
        <v>4</v>
      </c>
      <c r="C95" s="2" t="e">
        <f>#REF!</f>
        <v>#REF!</v>
      </c>
      <c r="D95" s="12" t="e">
        <f>IF(B95=1,#REF!,IF(B95=2,#REF!,IF(B95=3,#REF!,IF(B95=4,#REF!,IF(B95=5,#REF!,IF(B95=6,#REF!,IF(B95=7,#REF!,IF(B95=8,#REF!, IF(B95=9,#REF!,IF(B95=10,#REF!,IF(B95=11,#REF!,”Error”)))))))))))</f>
        <v>#REF!</v>
      </c>
      <c r="E95" s="12" t="e">
        <f>IF(#REF!="Si",1,IF(#REF!="No",0))</f>
        <v>#REF!</v>
      </c>
      <c r="F95" s="12" t="e">
        <f>IF(#REF!="Trifásico",3,IF(#REF!="Monofásico trifilar",2,IF(#REF!="Monofásico bifilar",1)))</f>
        <v>#REF!</v>
      </c>
      <c r="G95" s="22" t="e">
        <f>IF(#REF!="Trifásico",(#REF!)/(SQRT(3)*#REF!),IF(#REF!="Monofásico trifilar",(#REF!)/(#REF!),IF(#REF!="Monofásico bifilar",(#REF!)/(#REF!))))*(1+#REF!)</f>
        <v>#REF!</v>
      </c>
      <c r="H95" s="9" t="e">
        <f>IF(F95=3,#REF!*3*((Costos!G95/#REF!)^2)*#REF!*Costos!D95*Costos!$B$4,IF(F95=2,#REF!*2*((Costos!G95/#REF!)^2)*#REF!*Costos!D95*Costos!$B$4,IF(F95=1,#REF!*((Costos!G95/#REF!)^2)*#REF!*Costos!D95*Costos!$B$4,"error")))</f>
        <v>#REF!</v>
      </c>
      <c r="I95" s="9" t="e">
        <f>#REF!*#REF!*#REF!*1000</f>
        <v>#REF!</v>
      </c>
      <c r="J95" s="72" t="e">
        <f t="shared" si="1"/>
        <v>#REF!</v>
      </c>
      <c r="K95" s="72" t="e">
        <f>IF(#REF!&gt;57.5,#REF!,IF(#REF!&gt;29.99999999,#REF!,IF(#REF!&gt;0.9999999999,#REF!,IF(#REF!&gt;0.000000001,#REF!,"Error"))))</f>
        <v>#REF!</v>
      </c>
      <c r="L95" s="13" t="e">
        <f>IF(K95&gt;J95,(1+E95*0.04)*#REF!*D95,0)</f>
        <v>#REF!</v>
      </c>
      <c r="M95" s="13" t="e">
        <f>IF(K95&gt;J95,G95^2*#REF!*D95*$B$5,0)</f>
        <v>#REF!</v>
      </c>
    </row>
    <row r="96" spans="2:13" x14ac:dyDescent="0.25">
      <c r="B96" s="2">
        <v>4</v>
      </c>
      <c r="C96" s="2" t="e">
        <f>#REF!</f>
        <v>#REF!</v>
      </c>
      <c r="D96" s="12" t="e">
        <f>IF(B96=1,#REF!,IF(B96=2,#REF!,IF(B96=3,#REF!,IF(B96=4,#REF!,IF(B96=5,#REF!,IF(B96=6,#REF!,IF(B96=7,#REF!,IF(B96=8,#REF!, IF(B96=9,#REF!,IF(B96=10,#REF!,IF(B96=11,#REF!,”Error”)))))))))))</f>
        <v>#REF!</v>
      </c>
      <c r="E96" s="12" t="e">
        <f>IF(#REF!="Si",1,IF(#REF!="No",0))</f>
        <v>#REF!</v>
      </c>
      <c r="F96" s="12" t="e">
        <f>IF(#REF!="Trifásico",3,IF(#REF!="Monofásico trifilar",2,IF(#REF!="Monofásico bifilar",1)))</f>
        <v>#REF!</v>
      </c>
      <c r="G96" s="22" t="e">
        <f>IF(#REF!="Trifásico",(#REF!)/(SQRT(3)*#REF!),IF(#REF!="Monofásico trifilar",(#REF!)/(#REF!),IF(#REF!="Monofásico bifilar",(#REF!)/(#REF!))))*(1+#REF!)</f>
        <v>#REF!</v>
      </c>
      <c r="H96" s="9" t="e">
        <f>IF(F96=3,#REF!*3*((Costos!G96/#REF!)^2)*#REF!*Costos!D96*Costos!$B$4,IF(F96=2,#REF!*2*((Costos!G96/#REF!)^2)*#REF!*Costos!D96*Costos!$B$4,IF(F96=1,#REF!*((Costos!G96/#REF!)^2)*#REF!*Costos!D96*Costos!$B$4,"error")))</f>
        <v>#REF!</v>
      </c>
      <c r="I96" s="9" t="e">
        <f>#REF!*#REF!*#REF!*1000</f>
        <v>#REF!</v>
      </c>
      <c r="J96" s="72" t="e">
        <f t="shared" si="1"/>
        <v>#REF!</v>
      </c>
      <c r="K96" s="72" t="e">
        <f>IF(#REF!&gt;57.5,#REF!,IF(#REF!&gt;29.99999999,#REF!,IF(#REF!&gt;0.9999999999,#REF!,IF(#REF!&gt;0.000000001,#REF!,"Error"))))</f>
        <v>#REF!</v>
      </c>
      <c r="L96" s="13" t="e">
        <f>IF(K96&gt;J96,(1+E96*0.04)*#REF!*D96,0)</f>
        <v>#REF!</v>
      </c>
      <c r="M96" s="13" t="e">
        <f>IF(K96&gt;J96,G96^2*#REF!*D96*$B$5,0)</f>
        <v>#REF!</v>
      </c>
    </row>
    <row r="97" spans="2:13" x14ac:dyDescent="0.25">
      <c r="B97" s="2">
        <v>4</v>
      </c>
      <c r="C97" s="2" t="e">
        <f>#REF!</f>
        <v>#REF!</v>
      </c>
      <c r="D97" s="12" t="e">
        <f>IF(B97=1,#REF!,IF(B97=2,#REF!,IF(B97=3,#REF!,IF(B97=4,#REF!,IF(B97=5,#REF!,IF(B97=6,#REF!,IF(B97=7,#REF!,IF(B97=8,#REF!, IF(B97=9,#REF!,IF(B97=10,#REF!,IF(B97=11,#REF!,”Error”)))))))))))</f>
        <v>#REF!</v>
      </c>
      <c r="E97" s="12" t="e">
        <f>IF(#REF!="Si",1,IF(#REF!="No",0))</f>
        <v>#REF!</v>
      </c>
      <c r="F97" s="12" t="e">
        <f>IF(#REF!="Trifásico",3,IF(#REF!="Monofásico trifilar",2,IF(#REF!="Monofásico bifilar",1)))</f>
        <v>#REF!</v>
      </c>
      <c r="G97" s="22" t="e">
        <f>IF(#REF!="Trifásico",(#REF!)/(SQRT(3)*#REF!),IF(#REF!="Monofásico trifilar",(#REF!)/(#REF!),IF(#REF!="Monofásico bifilar",(#REF!)/(#REF!))))*(1+#REF!)</f>
        <v>#REF!</v>
      </c>
      <c r="H97" s="9" t="e">
        <f>IF(F97=3,#REF!*3*((Costos!G97/#REF!)^2)*#REF!*Costos!D97*Costos!$B$4,IF(F97=2,#REF!*2*((Costos!G97/#REF!)^2)*#REF!*Costos!D97*Costos!$B$4,IF(F97=1,#REF!*((Costos!G97/#REF!)^2)*#REF!*Costos!D97*Costos!$B$4,"error")))</f>
        <v>#REF!</v>
      </c>
      <c r="I97" s="9" t="e">
        <f>#REF!*#REF!*#REF!*1000</f>
        <v>#REF!</v>
      </c>
      <c r="J97" s="72" t="e">
        <f t="shared" si="1"/>
        <v>#REF!</v>
      </c>
      <c r="K97" s="72" t="e">
        <f>IF(#REF!&gt;57.5,#REF!,IF(#REF!&gt;29.99999999,#REF!,IF(#REF!&gt;0.9999999999,#REF!,IF(#REF!&gt;0.000000001,#REF!,"Error"))))</f>
        <v>#REF!</v>
      </c>
      <c r="L97" s="13" t="e">
        <f>IF(K97&gt;J97,(1+E97*0.04)*#REF!*D97,0)</f>
        <v>#REF!</v>
      </c>
      <c r="M97" s="13" t="e">
        <f>IF(K97&gt;J97,G97^2*#REF!*D97*$B$5,0)</f>
        <v>#REF!</v>
      </c>
    </row>
    <row r="98" spans="2:13" x14ac:dyDescent="0.25">
      <c r="B98" s="2">
        <v>4</v>
      </c>
      <c r="C98" s="2" t="e">
        <f>#REF!</f>
        <v>#REF!</v>
      </c>
      <c r="D98" s="12" t="e">
        <f>IF(B98=1,#REF!,IF(B98=2,#REF!,IF(B98=3,#REF!,IF(B98=4,#REF!,IF(B98=5,#REF!,IF(B98=6,#REF!,IF(B98=7,#REF!,IF(B98=8,#REF!, IF(B98=9,#REF!,IF(B98=10,#REF!,IF(B98=11,#REF!,”Error”)))))))))))</f>
        <v>#REF!</v>
      </c>
      <c r="E98" s="12" t="e">
        <f>IF(#REF!="Si",1,IF(#REF!="No",0))</f>
        <v>#REF!</v>
      </c>
      <c r="F98" s="12" t="e">
        <f>IF(#REF!="Trifásico",3,IF(#REF!="Monofásico trifilar",2,IF(#REF!="Monofásico bifilar",1)))</f>
        <v>#REF!</v>
      </c>
      <c r="G98" s="22" t="e">
        <f>IF(#REF!="Trifásico",(#REF!)/(SQRT(3)*#REF!),IF(#REF!="Monofásico trifilar",(#REF!)/(#REF!),IF(#REF!="Monofásico bifilar",(#REF!)/(#REF!))))*(1+#REF!)</f>
        <v>#REF!</v>
      </c>
      <c r="H98" s="9" t="e">
        <f>IF(F98=3,#REF!*3*((Costos!G98/#REF!)^2)*#REF!*Costos!D98*Costos!$B$4,IF(F98=2,#REF!*2*((Costos!G98/#REF!)^2)*#REF!*Costos!D98*Costos!$B$4,IF(F98=1,#REF!*((Costos!G98/#REF!)^2)*#REF!*Costos!D98*Costos!$B$4,"error")))</f>
        <v>#REF!</v>
      </c>
      <c r="I98" s="9" t="e">
        <f>#REF!*#REF!*#REF!*1000</f>
        <v>#REF!</v>
      </c>
      <c r="J98" s="72" t="e">
        <f t="shared" si="1"/>
        <v>#REF!</v>
      </c>
      <c r="K98" s="72" t="e">
        <f>IF(#REF!&gt;57.5,#REF!,IF(#REF!&gt;29.99999999,#REF!,IF(#REF!&gt;0.9999999999,#REF!,IF(#REF!&gt;0.000000001,#REF!,"Error"))))</f>
        <v>#REF!</v>
      </c>
      <c r="L98" s="13" t="e">
        <f>IF(K98&gt;J98,(1+E98*0.04)*#REF!*D98,0)</f>
        <v>#REF!</v>
      </c>
      <c r="M98" s="13" t="e">
        <f>IF(K98&gt;J98,G98^2*#REF!*D98*$B$5,0)</f>
        <v>#REF!</v>
      </c>
    </row>
    <row r="99" spans="2:13" x14ac:dyDescent="0.25">
      <c r="B99" s="2">
        <v>4</v>
      </c>
      <c r="C99" s="2" t="e">
        <f>#REF!</f>
        <v>#REF!</v>
      </c>
      <c r="D99" s="12" t="e">
        <f>IF(B99=1,#REF!,IF(B99=2,#REF!,IF(B99=3,#REF!,IF(B99=4,#REF!,IF(B99=5,#REF!,IF(B99=6,#REF!,IF(B99=7,#REF!,IF(B99=8,#REF!, IF(B99=9,#REF!,IF(B99=10,#REF!,IF(B99=11,#REF!,”Error”)))))))))))</f>
        <v>#REF!</v>
      </c>
      <c r="E99" s="12" t="e">
        <f>IF(#REF!="Si",1,IF(#REF!="No",0))</f>
        <v>#REF!</v>
      </c>
      <c r="F99" s="12" t="e">
        <f>IF(#REF!="Trifásico",3,IF(#REF!="Monofásico trifilar",2,IF(#REF!="Monofásico bifilar",1)))</f>
        <v>#REF!</v>
      </c>
      <c r="G99" s="22" t="e">
        <f>IF(#REF!="Trifásico",(#REF!)/(SQRT(3)*#REF!),IF(#REF!="Monofásico trifilar",(#REF!)/(#REF!),IF(#REF!="Monofásico bifilar",(#REF!)/(#REF!))))*(1+#REF!)</f>
        <v>#REF!</v>
      </c>
      <c r="H99" s="9" t="e">
        <f>IF(F99=3,#REF!*3*((Costos!G99/#REF!)^2)*#REF!*Costos!D99*Costos!$B$4,IF(F99=2,#REF!*2*((Costos!G99/#REF!)^2)*#REF!*Costos!D99*Costos!$B$4,IF(F99=1,#REF!*((Costos!G99/#REF!)^2)*#REF!*Costos!D99*Costos!$B$4,"error")))</f>
        <v>#REF!</v>
      </c>
      <c r="I99" s="9" t="e">
        <f>#REF!*#REF!*#REF!*1000</f>
        <v>#REF!</v>
      </c>
      <c r="J99" s="72" t="e">
        <f t="shared" si="1"/>
        <v>#REF!</v>
      </c>
      <c r="K99" s="72" t="e">
        <f>IF(#REF!&gt;57.5,#REF!,IF(#REF!&gt;29.99999999,#REF!,IF(#REF!&gt;0.9999999999,#REF!,IF(#REF!&gt;0.000000001,#REF!,"Error"))))</f>
        <v>#REF!</v>
      </c>
      <c r="L99" s="13" t="e">
        <f>IF(K99&gt;J99,(1+E99*0.04)*#REF!*D99,0)</f>
        <v>#REF!</v>
      </c>
      <c r="M99" s="13" t="e">
        <f>IF(K99&gt;J99,G99^2*#REF!*D99*$B$5,0)</f>
        <v>#REF!</v>
      </c>
    </row>
    <row r="100" spans="2:13" x14ac:dyDescent="0.25">
      <c r="B100" s="2">
        <v>5</v>
      </c>
      <c r="C100" s="2" t="e">
        <f>#REF!</f>
        <v>#REF!</v>
      </c>
      <c r="D100" s="12" t="e">
        <f>IF(B100=1,#REF!,IF(B100=2,#REF!,IF(B100=3,#REF!,IF(B100=4,#REF!,IF(B100=5,#REF!,IF(B100=6,#REF!,IF(B100=7,#REF!,IF(B100=8,#REF!, IF(B100=9,#REF!,IF(B100=10,#REF!,IF(B100=11,#REF!,”Error”)))))))))))</f>
        <v>#REF!</v>
      </c>
      <c r="E100" s="12" t="e">
        <f>IF(#REF!="Si",1,IF(#REF!="No",0))</f>
        <v>#REF!</v>
      </c>
      <c r="F100" s="12" t="e">
        <f>IF(#REF!="Trifásico",3,IF(#REF!="Monofásico trifilar",2,IF(#REF!="Monofásico bifilar",1)))</f>
        <v>#REF!</v>
      </c>
      <c r="G100" s="22" t="e">
        <f>IF(#REF!="Trifásico",(#REF!)/(SQRT(3)*#REF!),IF(#REF!="Monofásico trifilar",(#REF!)/(#REF!),IF(#REF!="Monofásico bifilar",(#REF!)/(#REF!))))*(1+#REF!)</f>
        <v>#REF!</v>
      </c>
      <c r="H100" s="9" t="e">
        <f>IF(F100=3,#REF!*3*((Costos!G100/#REF!)^2)*#REF!*Costos!D100*Costos!$B$4,IF(F100=2,#REF!*2*((Costos!G100/#REF!)^2)*#REF!*Costos!D100*Costos!$B$4,IF(F100=1,#REF!*((Costos!G100/#REF!)^2)*#REF!*Costos!D100*Costos!$B$4,"error")))</f>
        <v>#REF!</v>
      </c>
      <c r="I100" s="9" t="e">
        <f>#REF!*#REF!*#REF!*1000</f>
        <v>#REF!</v>
      </c>
      <c r="J100" s="72" t="e">
        <f t="shared" si="1"/>
        <v>#REF!</v>
      </c>
      <c r="K100" s="72" t="e">
        <f>IF(#REF!&gt;57.5,#REF!,IF(#REF!&gt;29.99999999,#REF!,IF(#REF!&gt;0.9999999999,#REF!,IF(#REF!&gt;0.000000001,#REF!,"Error"))))</f>
        <v>#REF!</v>
      </c>
      <c r="L100" s="13" t="e">
        <f>IF(K100&gt;J100,(1+E100*0.04)*#REF!*D100,0)</f>
        <v>#REF!</v>
      </c>
      <c r="M100" s="13" t="e">
        <f>IF(K100&gt;J100,G100^2*#REF!*D100*$B$5,0)</f>
        <v>#REF!</v>
      </c>
    </row>
    <row r="101" spans="2:13" x14ac:dyDescent="0.25">
      <c r="B101" s="2">
        <v>5</v>
      </c>
      <c r="C101" s="2" t="e">
        <f>#REF!</f>
        <v>#REF!</v>
      </c>
      <c r="D101" s="12" t="e">
        <f>IF(B101=1,#REF!,IF(B101=2,#REF!,IF(B101=3,#REF!,IF(B101=4,#REF!,IF(B101=5,#REF!,IF(B101=6,#REF!,IF(B101=7,#REF!,IF(B101=8,#REF!, IF(B101=9,#REF!,IF(B101=10,#REF!,IF(B101=11,#REF!,”Error”)))))))))))</f>
        <v>#REF!</v>
      </c>
      <c r="E101" s="12" t="e">
        <f>IF(#REF!="Si",1,IF(#REF!="No",0))</f>
        <v>#REF!</v>
      </c>
      <c r="F101" s="12" t="e">
        <f>IF(#REF!="Trifásico",3,IF(#REF!="Monofásico trifilar",2,IF(#REF!="Monofásico bifilar",1)))</f>
        <v>#REF!</v>
      </c>
      <c r="G101" s="22" t="e">
        <f>IF(#REF!="Trifásico",(#REF!)/(SQRT(3)*#REF!),IF(#REF!="Monofásico trifilar",(#REF!)/(#REF!),IF(#REF!="Monofásico bifilar",(#REF!)/(#REF!))))*(1+#REF!)</f>
        <v>#REF!</v>
      </c>
      <c r="H101" s="9" t="e">
        <f>IF(F101=3,#REF!*3*((Costos!G101/#REF!)^2)*#REF!*Costos!D101*Costos!$B$4,IF(F101=2,#REF!*2*((Costos!G101/#REF!)^2)*#REF!*Costos!D101*Costos!$B$4,IF(F101=1,#REF!*((Costos!G101/#REF!)^2)*#REF!*Costos!D101*Costos!$B$4,"error")))</f>
        <v>#REF!</v>
      </c>
      <c r="I101" s="9" t="e">
        <f>#REF!*#REF!*#REF!*1000</f>
        <v>#REF!</v>
      </c>
      <c r="J101" s="72" t="e">
        <f t="shared" si="1"/>
        <v>#REF!</v>
      </c>
      <c r="K101" s="72" t="e">
        <f>IF(#REF!&gt;57.5,#REF!,IF(#REF!&gt;29.99999999,#REF!,IF(#REF!&gt;0.9999999999,#REF!,IF(#REF!&gt;0.000000001,#REF!,"Error"))))</f>
        <v>#REF!</v>
      </c>
      <c r="L101" s="13" t="e">
        <f>IF(K101&gt;J101,(1+E101*0.04)*#REF!*D101,0)</f>
        <v>#REF!</v>
      </c>
      <c r="M101" s="13" t="e">
        <f>IF(K101&gt;J101,G101^2*#REF!*D101*$B$5,0)</f>
        <v>#REF!</v>
      </c>
    </row>
    <row r="102" spans="2:13" x14ac:dyDescent="0.25">
      <c r="B102" s="2">
        <v>5</v>
      </c>
      <c r="C102" s="2" t="e">
        <f>#REF!</f>
        <v>#REF!</v>
      </c>
      <c r="D102" s="12" t="e">
        <f>IF(B102=1,#REF!,IF(B102=2,#REF!,IF(B102=3,#REF!,IF(B102=4,#REF!,IF(B102=5,#REF!,IF(B102=6,#REF!,IF(B102=7,#REF!,IF(B102=8,#REF!, IF(B102=9,#REF!,IF(B102=10,#REF!,IF(B102=11,#REF!,”Error”)))))))))))</f>
        <v>#REF!</v>
      </c>
      <c r="E102" s="12" t="e">
        <f>IF(#REF!="Si",1,IF(#REF!="No",0))</f>
        <v>#REF!</v>
      </c>
      <c r="F102" s="12" t="e">
        <f>IF(#REF!="Trifásico",3,IF(#REF!="Monofásico trifilar",2,IF(#REF!="Monofásico bifilar",1)))</f>
        <v>#REF!</v>
      </c>
      <c r="G102" s="22" t="e">
        <f>IF(#REF!="Trifásico",(#REF!)/(SQRT(3)*#REF!),IF(#REF!="Monofásico trifilar",(#REF!)/(#REF!),IF(#REF!="Monofásico bifilar",(#REF!)/(#REF!))))*(1+#REF!)</f>
        <v>#REF!</v>
      </c>
      <c r="H102" s="9" t="e">
        <f>IF(F102=3,#REF!*3*((Costos!G102/#REF!)^2)*#REF!*Costos!D102*Costos!$B$4,IF(F102=2,#REF!*2*((Costos!G102/#REF!)^2)*#REF!*Costos!D102*Costos!$B$4,IF(F102=1,#REF!*((Costos!G102/#REF!)^2)*#REF!*Costos!D102*Costos!$B$4,"error")))</f>
        <v>#REF!</v>
      </c>
      <c r="I102" s="9" t="e">
        <f>#REF!*#REF!*#REF!*1000</f>
        <v>#REF!</v>
      </c>
      <c r="J102" s="72" t="e">
        <f t="shared" si="1"/>
        <v>#REF!</v>
      </c>
      <c r="K102" s="72" t="e">
        <f>IF(#REF!&gt;57.5,#REF!,IF(#REF!&gt;29.99999999,#REF!,IF(#REF!&gt;0.9999999999,#REF!,IF(#REF!&gt;0.000000001,#REF!,"Error"))))</f>
        <v>#REF!</v>
      </c>
      <c r="L102" s="13" t="e">
        <f>IF(K102&gt;J102,(1+E102*0.04)*#REF!*D102,0)</f>
        <v>#REF!</v>
      </c>
      <c r="M102" s="13" t="e">
        <f>IF(K102&gt;J102,G102^2*#REF!*D102*$B$5,0)</f>
        <v>#REF!</v>
      </c>
    </row>
    <row r="103" spans="2:13" x14ac:dyDescent="0.25">
      <c r="B103" s="2">
        <v>5</v>
      </c>
      <c r="C103" s="2" t="e">
        <f>#REF!</f>
        <v>#REF!</v>
      </c>
      <c r="D103" s="12" t="e">
        <f>IF(B103=1,#REF!,IF(B103=2,#REF!,IF(B103=3,#REF!,IF(B103=4,#REF!,IF(B103=5,#REF!,IF(B103=6,#REF!,IF(B103=7,#REF!,IF(B103=8,#REF!, IF(B103=9,#REF!,IF(B103=10,#REF!,IF(B103=11,#REF!,”Error”)))))))))))</f>
        <v>#REF!</v>
      </c>
      <c r="E103" s="12" t="e">
        <f>IF(#REF!="Si",1,IF(#REF!="No",0))</f>
        <v>#REF!</v>
      </c>
      <c r="F103" s="12" t="e">
        <f>IF(#REF!="Trifásico",3,IF(#REF!="Monofásico trifilar",2,IF(#REF!="Monofásico bifilar",1)))</f>
        <v>#REF!</v>
      </c>
      <c r="G103" s="22" t="e">
        <f>IF(#REF!="Trifásico",(#REF!)/(SQRT(3)*#REF!),IF(#REF!="Monofásico trifilar",(#REF!)/(#REF!),IF(#REF!="Monofásico bifilar",(#REF!)/(#REF!))))*(1+#REF!)</f>
        <v>#REF!</v>
      </c>
      <c r="H103" s="9" t="e">
        <f>IF(F103=3,#REF!*3*((Costos!G103/#REF!)^2)*#REF!*Costos!D103*Costos!$B$4,IF(F103=2,#REF!*2*((Costos!G103/#REF!)^2)*#REF!*Costos!D103*Costos!$B$4,IF(F103=1,#REF!*((Costos!G103/#REF!)^2)*#REF!*Costos!D103*Costos!$B$4,"error")))</f>
        <v>#REF!</v>
      </c>
      <c r="I103" s="9" t="e">
        <f>#REF!*#REF!*#REF!*1000</f>
        <v>#REF!</v>
      </c>
      <c r="J103" s="72" t="e">
        <f t="shared" si="1"/>
        <v>#REF!</v>
      </c>
      <c r="K103" s="72" t="e">
        <f>IF(#REF!&gt;57.5,#REF!,IF(#REF!&gt;29.99999999,#REF!,IF(#REF!&gt;0.9999999999,#REF!,IF(#REF!&gt;0.000000001,#REF!,"Error"))))</f>
        <v>#REF!</v>
      </c>
      <c r="L103" s="13" t="e">
        <f>IF(K103&gt;J103,(1+E103*0.04)*#REF!*D103,0)</f>
        <v>#REF!</v>
      </c>
      <c r="M103" s="13" t="e">
        <f>IF(K103&gt;J103,G103^2*#REF!*D103*$B$5,0)</f>
        <v>#REF!</v>
      </c>
    </row>
    <row r="104" spans="2:13" x14ac:dyDescent="0.25">
      <c r="B104" s="2">
        <v>5</v>
      </c>
      <c r="C104" s="2" t="e">
        <f>#REF!</f>
        <v>#REF!</v>
      </c>
      <c r="D104" s="12" t="e">
        <f>IF(B104=1,#REF!,IF(B104=2,#REF!,IF(B104=3,#REF!,IF(B104=4,#REF!,IF(B104=5,#REF!,IF(B104=6,#REF!,IF(B104=7,#REF!,IF(B104=8,#REF!, IF(B104=9,#REF!,IF(B104=10,#REF!,IF(B104=11,#REF!,”Error”)))))))))))</f>
        <v>#REF!</v>
      </c>
      <c r="E104" s="12" t="e">
        <f>IF(#REF!="Si",1,IF(#REF!="No",0))</f>
        <v>#REF!</v>
      </c>
      <c r="F104" s="12" t="e">
        <f>IF(#REF!="Trifásico",3,IF(#REF!="Monofásico trifilar",2,IF(#REF!="Monofásico bifilar",1)))</f>
        <v>#REF!</v>
      </c>
      <c r="G104" s="22" t="e">
        <f>IF(#REF!="Trifásico",(#REF!)/(SQRT(3)*#REF!),IF(#REF!="Monofásico trifilar",(#REF!)/(#REF!),IF(#REF!="Monofásico bifilar",(#REF!)/(#REF!))))*(1+#REF!)</f>
        <v>#REF!</v>
      </c>
      <c r="H104" s="9" t="e">
        <f>IF(F104=3,#REF!*3*((Costos!G104/#REF!)^2)*#REF!*Costos!D104*Costos!$B$4,IF(F104=2,#REF!*2*((Costos!G104/#REF!)^2)*#REF!*Costos!D104*Costos!$B$4,IF(F104=1,#REF!*((Costos!G104/#REF!)^2)*#REF!*Costos!D104*Costos!$B$4,"error")))</f>
        <v>#REF!</v>
      </c>
      <c r="I104" s="9" t="e">
        <f>#REF!*#REF!*#REF!*1000</f>
        <v>#REF!</v>
      </c>
      <c r="J104" s="72" t="e">
        <f t="shared" si="1"/>
        <v>#REF!</v>
      </c>
      <c r="K104" s="72" t="e">
        <f>IF(#REF!&gt;57.5,#REF!,IF(#REF!&gt;29.99999999,#REF!,IF(#REF!&gt;0.9999999999,#REF!,IF(#REF!&gt;0.000000001,#REF!,"Error"))))</f>
        <v>#REF!</v>
      </c>
      <c r="L104" s="13" t="e">
        <f>IF(K104&gt;J104,(1+E104*0.04)*#REF!*D104,0)</f>
        <v>#REF!</v>
      </c>
      <c r="M104" s="13" t="e">
        <f>IF(K104&gt;J104,G104^2*#REF!*D104*$B$5,0)</f>
        <v>#REF!</v>
      </c>
    </row>
    <row r="105" spans="2:13" x14ac:dyDescent="0.25">
      <c r="B105" s="2">
        <v>5</v>
      </c>
      <c r="C105" s="2" t="e">
        <f>#REF!</f>
        <v>#REF!</v>
      </c>
      <c r="D105" s="12" t="e">
        <f>IF(B105=1,#REF!,IF(B105=2,#REF!,IF(B105=3,#REF!,IF(B105=4,#REF!,IF(B105=5,#REF!,IF(B105=6,#REF!,IF(B105=7,#REF!,IF(B105=8,#REF!, IF(B105=9,#REF!,IF(B105=10,#REF!,IF(B105=11,#REF!,”Error”)))))))))))</f>
        <v>#REF!</v>
      </c>
      <c r="E105" s="12" t="e">
        <f>IF(#REF!="Si",1,IF(#REF!="No",0))</f>
        <v>#REF!</v>
      </c>
      <c r="F105" s="12" t="e">
        <f>IF(#REF!="Trifásico",3,IF(#REF!="Monofásico trifilar",2,IF(#REF!="Monofásico bifilar",1)))</f>
        <v>#REF!</v>
      </c>
      <c r="G105" s="22" t="e">
        <f>IF(#REF!="Trifásico",(#REF!)/(SQRT(3)*#REF!),IF(#REF!="Monofásico trifilar",(#REF!)/(#REF!),IF(#REF!="Monofásico bifilar",(#REF!)/(#REF!))))*(1+#REF!)</f>
        <v>#REF!</v>
      </c>
      <c r="H105" s="9" t="e">
        <f>IF(F105=3,#REF!*3*((Costos!G105/#REF!)^2)*#REF!*Costos!D105*Costos!$B$4,IF(F105=2,#REF!*2*((Costos!G105/#REF!)^2)*#REF!*Costos!D105*Costos!$B$4,IF(F105=1,#REF!*((Costos!G105/#REF!)^2)*#REF!*Costos!D105*Costos!$B$4,"error")))</f>
        <v>#REF!</v>
      </c>
      <c r="I105" s="9" t="e">
        <f>#REF!*#REF!*#REF!*1000</f>
        <v>#REF!</v>
      </c>
      <c r="J105" s="72" t="e">
        <f t="shared" si="1"/>
        <v>#REF!</v>
      </c>
      <c r="K105" s="72" t="e">
        <f>IF(#REF!&gt;57.5,#REF!,IF(#REF!&gt;29.99999999,#REF!,IF(#REF!&gt;0.9999999999,#REF!,IF(#REF!&gt;0.000000001,#REF!,"Error"))))</f>
        <v>#REF!</v>
      </c>
      <c r="L105" s="13" t="e">
        <f>IF(K105&gt;J105,(1+E105*0.04)*#REF!*D105,0)</f>
        <v>#REF!</v>
      </c>
      <c r="M105" s="13" t="e">
        <f>IF(K105&gt;J105,G105^2*#REF!*D105*$B$5,0)</f>
        <v>#REF!</v>
      </c>
    </row>
    <row r="106" spans="2:13" x14ac:dyDescent="0.25">
      <c r="B106" s="2">
        <v>5</v>
      </c>
      <c r="C106" s="2" t="e">
        <f>#REF!</f>
        <v>#REF!</v>
      </c>
      <c r="D106" s="12" t="e">
        <f>IF(B106=1,#REF!,IF(B106=2,#REF!,IF(B106=3,#REF!,IF(B106=4,#REF!,IF(B106=5,#REF!,IF(B106=6,#REF!,IF(B106=7,#REF!,IF(B106=8,#REF!, IF(B106=9,#REF!,IF(B106=10,#REF!,IF(B106=11,#REF!,”Error”)))))))))))</f>
        <v>#REF!</v>
      </c>
      <c r="E106" s="12" t="e">
        <f>IF(#REF!="Si",1,IF(#REF!="No",0))</f>
        <v>#REF!</v>
      </c>
      <c r="F106" s="12" t="e">
        <f>IF(#REF!="Trifásico",3,IF(#REF!="Monofásico trifilar",2,IF(#REF!="Monofásico bifilar",1)))</f>
        <v>#REF!</v>
      </c>
      <c r="G106" s="22" t="e">
        <f>IF(#REF!="Trifásico",(#REF!)/(SQRT(3)*#REF!),IF(#REF!="Monofásico trifilar",(#REF!)/(#REF!),IF(#REF!="Monofásico bifilar",(#REF!)/(#REF!))))*(1+#REF!)</f>
        <v>#REF!</v>
      </c>
      <c r="H106" s="9" t="e">
        <f>IF(F106=3,#REF!*3*((Costos!G106/#REF!)^2)*#REF!*Costos!D106*Costos!$B$4,IF(F106=2,#REF!*2*((Costos!G106/#REF!)^2)*#REF!*Costos!D106*Costos!$B$4,IF(F106=1,#REF!*((Costos!G106/#REF!)^2)*#REF!*Costos!D106*Costos!$B$4,"error")))</f>
        <v>#REF!</v>
      </c>
      <c r="I106" s="9" t="e">
        <f>#REF!*#REF!*#REF!*1000</f>
        <v>#REF!</v>
      </c>
      <c r="J106" s="72" t="e">
        <f t="shared" si="1"/>
        <v>#REF!</v>
      </c>
      <c r="K106" s="72" t="e">
        <f>IF(#REF!&gt;57.5,#REF!,IF(#REF!&gt;29.99999999,#REF!,IF(#REF!&gt;0.9999999999,#REF!,IF(#REF!&gt;0.000000001,#REF!,"Error"))))</f>
        <v>#REF!</v>
      </c>
      <c r="L106" s="13" t="e">
        <f>IF(K106&gt;J106,(1+E106*0.04)*#REF!*D106,0)</f>
        <v>#REF!</v>
      </c>
      <c r="M106" s="13" t="e">
        <f>IF(K106&gt;J106,G106^2*#REF!*D106*$B$5,0)</f>
        <v>#REF!</v>
      </c>
    </row>
    <row r="107" spans="2:13" x14ac:dyDescent="0.25">
      <c r="B107" s="2">
        <v>5</v>
      </c>
      <c r="C107" s="2" t="e">
        <f>#REF!</f>
        <v>#REF!</v>
      </c>
      <c r="D107" s="12" t="e">
        <f>IF(B107=1,#REF!,IF(B107=2,#REF!,IF(B107=3,#REF!,IF(B107=4,#REF!,IF(B107=5,#REF!,IF(B107=6,#REF!,IF(B107=7,#REF!,IF(B107=8,#REF!, IF(B107=9,#REF!,IF(B107=10,#REF!,IF(B107=11,#REF!,”Error”)))))))))))</f>
        <v>#REF!</v>
      </c>
      <c r="E107" s="12" t="e">
        <f>IF(#REF!="Si",1,IF(#REF!="No",0))</f>
        <v>#REF!</v>
      </c>
      <c r="F107" s="12" t="e">
        <f>IF(#REF!="Trifásico",3,IF(#REF!="Monofásico trifilar",2,IF(#REF!="Monofásico bifilar",1)))</f>
        <v>#REF!</v>
      </c>
      <c r="G107" s="22" t="e">
        <f>IF(#REF!="Trifásico",(#REF!)/(SQRT(3)*#REF!),IF(#REF!="Monofásico trifilar",(#REF!)/(#REF!),IF(#REF!="Monofásico bifilar",(#REF!)/(#REF!))))*(1+#REF!)</f>
        <v>#REF!</v>
      </c>
      <c r="H107" s="9" t="e">
        <f>IF(F107=3,#REF!*3*((Costos!G107/#REF!)^2)*#REF!*Costos!D107*Costos!$B$4,IF(F107=2,#REF!*2*((Costos!G107/#REF!)^2)*#REF!*Costos!D107*Costos!$B$4,IF(F107=1,#REF!*((Costos!G107/#REF!)^2)*#REF!*Costos!D107*Costos!$B$4,"error")))</f>
        <v>#REF!</v>
      </c>
      <c r="I107" s="9" t="e">
        <f>#REF!*#REF!*#REF!*1000</f>
        <v>#REF!</v>
      </c>
      <c r="J107" s="72" t="e">
        <f t="shared" si="1"/>
        <v>#REF!</v>
      </c>
      <c r="K107" s="72" t="e">
        <f>IF(#REF!&gt;57.5,#REF!,IF(#REF!&gt;29.99999999,#REF!,IF(#REF!&gt;0.9999999999,#REF!,IF(#REF!&gt;0.000000001,#REF!,"Error"))))</f>
        <v>#REF!</v>
      </c>
      <c r="L107" s="13" t="e">
        <f>IF(K107&gt;J107,(1+E107*0.04)*#REF!*D107,0)</f>
        <v>#REF!</v>
      </c>
      <c r="M107" s="13" t="e">
        <f>IF(K107&gt;J107,G107^2*#REF!*D107*$B$5,0)</f>
        <v>#REF!</v>
      </c>
    </row>
    <row r="108" spans="2:13" x14ac:dyDescent="0.25">
      <c r="B108" s="2">
        <v>5</v>
      </c>
      <c r="C108" s="2" t="e">
        <f>#REF!</f>
        <v>#REF!</v>
      </c>
      <c r="D108" s="12" t="e">
        <f>IF(B108=1,#REF!,IF(B108=2,#REF!,IF(B108=3,#REF!,IF(B108=4,#REF!,IF(B108=5,#REF!,IF(B108=6,#REF!,IF(B108=7,#REF!,IF(B108=8,#REF!, IF(B108=9,#REF!,IF(B108=10,#REF!,IF(B108=11,#REF!,”Error”)))))))))))</f>
        <v>#REF!</v>
      </c>
      <c r="E108" s="12" t="e">
        <f>IF(#REF!="Si",1,IF(#REF!="No",0))</f>
        <v>#REF!</v>
      </c>
      <c r="F108" s="12" t="e">
        <f>IF(#REF!="Trifásico",3,IF(#REF!="Monofásico trifilar",2,IF(#REF!="Monofásico bifilar",1)))</f>
        <v>#REF!</v>
      </c>
      <c r="G108" s="22" t="e">
        <f>IF(#REF!="Trifásico",(#REF!)/(SQRT(3)*#REF!),IF(#REF!="Monofásico trifilar",(#REF!)/(#REF!),IF(#REF!="Monofásico bifilar",(#REF!)/(#REF!))))*(1+#REF!)</f>
        <v>#REF!</v>
      </c>
      <c r="H108" s="9" t="e">
        <f>IF(F108=3,#REF!*3*((Costos!G108/#REF!)^2)*#REF!*Costos!D108*Costos!$B$4,IF(F108=2,#REF!*2*((Costos!G108/#REF!)^2)*#REF!*Costos!D108*Costos!$B$4,IF(F108=1,#REF!*((Costos!G108/#REF!)^2)*#REF!*Costos!D108*Costos!$B$4,"error")))</f>
        <v>#REF!</v>
      </c>
      <c r="I108" s="9" t="e">
        <f>#REF!*#REF!*#REF!*1000</f>
        <v>#REF!</v>
      </c>
      <c r="J108" s="72" t="e">
        <f t="shared" si="1"/>
        <v>#REF!</v>
      </c>
      <c r="K108" s="72" t="e">
        <f>IF(#REF!&gt;57.5,#REF!,IF(#REF!&gt;29.99999999,#REF!,IF(#REF!&gt;0.9999999999,#REF!,IF(#REF!&gt;0.000000001,#REF!,"Error"))))</f>
        <v>#REF!</v>
      </c>
      <c r="L108" s="13" t="e">
        <f>IF(K108&gt;J108,(1+E108*0.04)*#REF!*D108,0)</f>
        <v>#REF!</v>
      </c>
      <c r="M108" s="13" t="e">
        <f>IF(K108&gt;J108,G108^2*#REF!*D108*$B$5,0)</f>
        <v>#REF!</v>
      </c>
    </row>
    <row r="109" spans="2:13" x14ac:dyDescent="0.25">
      <c r="B109" s="2">
        <v>5</v>
      </c>
      <c r="C109" s="2" t="e">
        <f>#REF!</f>
        <v>#REF!</v>
      </c>
      <c r="D109" s="12" t="e">
        <f>IF(B109=1,#REF!,IF(B109=2,#REF!,IF(B109=3,#REF!,IF(B109=4,#REF!,IF(B109=5,#REF!,IF(B109=6,#REF!,IF(B109=7,#REF!,IF(B109=8,#REF!, IF(B109=9,#REF!,IF(B109=10,#REF!,IF(B109=11,#REF!,”Error”)))))))))))</f>
        <v>#REF!</v>
      </c>
      <c r="E109" s="12" t="e">
        <f>IF(#REF!="Si",1,IF(#REF!="No",0))</f>
        <v>#REF!</v>
      </c>
      <c r="F109" s="12" t="e">
        <f>IF(#REF!="Trifásico",3,IF(#REF!="Monofásico trifilar",2,IF(#REF!="Monofásico bifilar",1)))</f>
        <v>#REF!</v>
      </c>
      <c r="G109" s="22" t="e">
        <f>IF(#REF!="Trifásico",(#REF!)/(SQRT(3)*#REF!),IF(#REF!="Monofásico trifilar",(#REF!)/(#REF!),IF(#REF!="Monofásico bifilar",(#REF!)/(#REF!))))*(1+#REF!)</f>
        <v>#REF!</v>
      </c>
      <c r="H109" s="9" t="e">
        <f>IF(F109=3,#REF!*3*((Costos!G109/#REF!)^2)*#REF!*Costos!D109*Costos!$B$4,IF(F109=2,#REF!*2*((Costos!G109/#REF!)^2)*#REF!*Costos!D109*Costos!$B$4,IF(F109=1,#REF!*((Costos!G109/#REF!)^2)*#REF!*Costos!D109*Costos!$B$4,"error")))</f>
        <v>#REF!</v>
      </c>
      <c r="I109" s="9" t="e">
        <f>#REF!*#REF!*#REF!*1000</f>
        <v>#REF!</v>
      </c>
      <c r="J109" s="72" t="e">
        <f t="shared" si="1"/>
        <v>#REF!</v>
      </c>
      <c r="K109" s="72" t="e">
        <f>IF(#REF!&gt;57.5,#REF!,IF(#REF!&gt;29.99999999,#REF!,IF(#REF!&gt;0.9999999999,#REF!,IF(#REF!&gt;0.000000001,#REF!,"Error"))))</f>
        <v>#REF!</v>
      </c>
      <c r="L109" s="13" t="e">
        <f>IF(K109&gt;J109,(1+E109*0.04)*#REF!*D109,0)</f>
        <v>#REF!</v>
      </c>
      <c r="M109" s="13" t="e">
        <f>IF(K109&gt;J109,G109^2*#REF!*D109*$B$5,0)</f>
        <v>#REF!</v>
      </c>
    </row>
    <row r="110" spans="2:13" x14ac:dyDescent="0.25">
      <c r="B110" s="2">
        <v>5</v>
      </c>
      <c r="C110" s="2" t="e">
        <f>#REF!</f>
        <v>#REF!</v>
      </c>
      <c r="D110" s="12" t="e">
        <f>IF(B110=1,#REF!,IF(B110=2,#REF!,IF(B110=3,#REF!,IF(B110=4,#REF!,IF(B110=5,#REF!,IF(B110=6,#REF!,IF(B110=7,#REF!,IF(B110=8,#REF!, IF(B110=9,#REF!,IF(B110=10,#REF!,IF(B110=11,#REF!,”Error”)))))))))))</f>
        <v>#REF!</v>
      </c>
      <c r="E110" s="12" t="e">
        <f>IF(#REF!="Si",1,IF(#REF!="No",0))</f>
        <v>#REF!</v>
      </c>
      <c r="F110" s="12" t="e">
        <f>IF(#REF!="Trifásico",3,IF(#REF!="Monofásico trifilar",2,IF(#REF!="Monofásico bifilar",1)))</f>
        <v>#REF!</v>
      </c>
      <c r="G110" s="22" t="e">
        <f>IF(#REF!="Trifásico",(#REF!)/(SQRT(3)*#REF!),IF(#REF!="Monofásico trifilar",(#REF!)/(#REF!),IF(#REF!="Monofásico bifilar",(#REF!)/(#REF!))))*(1+#REF!)</f>
        <v>#REF!</v>
      </c>
      <c r="H110" s="9" t="e">
        <f>IF(F110=3,#REF!*3*((Costos!G110/#REF!)^2)*#REF!*Costos!D110*Costos!$B$4,IF(F110=2,#REF!*2*((Costos!G110/#REF!)^2)*#REF!*Costos!D110*Costos!$B$4,IF(F110=1,#REF!*((Costos!G110/#REF!)^2)*#REF!*Costos!D110*Costos!$B$4,"error")))</f>
        <v>#REF!</v>
      </c>
      <c r="I110" s="9" t="e">
        <f>#REF!*#REF!*#REF!*1000</f>
        <v>#REF!</v>
      </c>
      <c r="J110" s="72" t="e">
        <f t="shared" si="1"/>
        <v>#REF!</v>
      </c>
      <c r="K110" s="72" t="e">
        <f>IF(#REF!&gt;57.5,#REF!,IF(#REF!&gt;29.99999999,#REF!,IF(#REF!&gt;0.9999999999,#REF!,IF(#REF!&gt;0.000000001,#REF!,"Error"))))</f>
        <v>#REF!</v>
      </c>
      <c r="L110" s="13" t="e">
        <f>IF(K110&gt;J110,(1+E110*0.04)*#REF!*D110,0)</f>
        <v>#REF!</v>
      </c>
      <c r="M110" s="13" t="e">
        <f>IF(K110&gt;J110,G110^2*#REF!*D110*$B$5,0)</f>
        <v>#REF!</v>
      </c>
    </row>
    <row r="111" spans="2:13" x14ac:dyDescent="0.25">
      <c r="B111" s="2">
        <v>5</v>
      </c>
      <c r="C111" s="2" t="e">
        <f>#REF!</f>
        <v>#REF!</v>
      </c>
      <c r="D111" s="12" t="e">
        <f>IF(B111=1,#REF!,IF(B111=2,#REF!,IF(B111=3,#REF!,IF(B111=4,#REF!,IF(B111=5,#REF!,IF(B111=6,#REF!,IF(B111=7,#REF!,IF(B111=8,#REF!, IF(B111=9,#REF!,IF(B111=10,#REF!,IF(B111=11,#REF!,”Error”)))))))))))</f>
        <v>#REF!</v>
      </c>
      <c r="E111" s="12" t="e">
        <f>IF(#REF!="Si",1,IF(#REF!="No",0))</f>
        <v>#REF!</v>
      </c>
      <c r="F111" s="12" t="e">
        <f>IF(#REF!="Trifásico",3,IF(#REF!="Monofásico trifilar",2,IF(#REF!="Monofásico bifilar",1)))</f>
        <v>#REF!</v>
      </c>
      <c r="G111" s="22" t="e">
        <f>IF(#REF!="Trifásico",(#REF!)/(SQRT(3)*#REF!),IF(#REF!="Monofásico trifilar",(#REF!)/(#REF!),IF(#REF!="Monofásico bifilar",(#REF!)/(#REF!))))*(1+#REF!)</f>
        <v>#REF!</v>
      </c>
      <c r="H111" s="9" t="e">
        <f>IF(F111=3,#REF!*3*((Costos!G111/#REF!)^2)*#REF!*Costos!D111*Costos!$B$4,IF(F111=2,#REF!*2*((Costos!G111/#REF!)^2)*#REF!*Costos!D111*Costos!$B$4,IF(F111=1,#REF!*((Costos!G111/#REF!)^2)*#REF!*Costos!D111*Costos!$B$4,"error")))</f>
        <v>#REF!</v>
      </c>
      <c r="I111" s="9" t="e">
        <f>#REF!*#REF!*#REF!*1000</f>
        <v>#REF!</v>
      </c>
      <c r="J111" s="72" t="e">
        <f t="shared" si="1"/>
        <v>#REF!</v>
      </c>
      <c r="K111" s="72" t="e">
        <f>IF(#REF!&gt;57.5,#REF!,IF(#REF!&gt;29.99999999,#REF!,IF(#REF!&gt;0.9999999999,#REF!,IF(#REF!&gt;0.000000001,#REF!,"Error"))))</f>
        <v>#REF!</v>
      </c>
      <c r="L111" s="13" t="e">
        <f>IF(K111&gt;J111,(1+E111*0.04)*#REF!*D111,0)</f>
        <v>#REF!</v>
      </c>
      <c r="M111" s="13" t="e">
        <f>IF(K111&gt;J111,G111^2*#REF!*D111*$B$5,0)</f>
        <v>#REF!</v>
      </c>
    </row>
    <row r="112" spans="2:13" x14ac:dyDescent="0.25">
      <c r="B112" s="2">
        <v>5</v>
      </c>
      <c r="C112" s="2" t="e">
        <f>#REF!</f>
        <v>#REF!</v>
      </c>
      <c r="D112" s="12" t="e">
        <f>IF(B112=1,#REF!,IF(B112=2,#REF!,IF(B112=3,#REF!,IF(B112=4,#REF!,IF(B112=5,#REF!,IF(B112=6,#REF!,IF(B112=7,#REF!,IF(B112=8,#REF!, IF(B112=9,#REF!,IF(B112=10,#REF!,IF(B112=11,#REF!,”Error”)))))))))))</f>
        <v>#REF!</v>
      </c>
      <c r="E112" s="12" t="e">
        <f>IF(#REF!="Si",1,IF(#REF!="No",0))</f>
        <v>#REF!</v>
      </c>
      <c r="F112" s="12" t="e">
        <f>IF(#REF!="Trifásico",3,IF(#REF!="Monofásico trifilar",2,IF(#REF!="Monofásico bifilar",1)))</f>
        <v>#REF!</v>
      </c>
      <c r="G112" s="22" t="e">
        <f>IF(#REF!="Trifásico",(#REF!)/(SQRT(3)*#REF!),IF(#REF!="Monofásico trifilar",(#REF!)/(#REF!),IF(#REF!="Monofásico bifilar",(#REF!)/(#REF!))))*(1+#REF!)</f>
        <v>#REF!</v>
      </c>
      <c r="H112" s="9" t="e">
        <f>IF(F112=3,#REF!*3*((Costos!G112/#REF!)^2)*#REF!*Costos!D112*Costos!$B$4,IF(F112=2,#REF!*2*((Costos!G112/#REF!)^2)*#REF!*Costos!D112*Costos!$B$4,IF(F112=1,#REF!*((Costos!G112/#REF!)^2)*#REF!*Costos!D112*Costos!$B$4,"error")))</f>
        <v>#REF!</v>
      </c>
      <c r="I112" s="9" t="e">
        <f>#REF!*#REF!*#REF!*1000</f>
        <v>#REF!</v>
      </c>
      <c r="J112" s="72" t="e">
        <f t="shared" si="1"/>
        <v>#REF!</v>
      </c>
      <c r="K112" s="72" t="e">
        <f>IF(#REF!&gt;57.5,#REF!,IF(#REF!&gt;29.99999999,#REF!,IF(#REF!&gt;0.9999999999,#REF!,IF(#REF!&gt;0.000000001,#REF!,"Error"))))</f>
        <v>#REF!</v>
      </c>
      <c r="L112" s="13" t="e">
        <f>IF(K112&gt;J112,(1+E112*0.04)*#REF!*D112,0)</f>
        <v>#REF!</v>
      </c>
      <c r="M112" s="13" t="e">
        <f>IF(K112&gt;J112,G112^2*#REF!*D112*$B$5,0)</f>
        <v>#REF!</v>
      </c>
    </row>
    <row r="113" spans="2:13" x14ac:dyDescent="0.25">
      <c r="B113" s="2">
        <v>5</v>
      </c>
      <c r="C113" s="2" t="e">
        <f>#REF!</f>
        <v>#REF!</v>
      </c>
      <c r="D113" s="12" t="e">
        <f>IF(B113=1,#REF!,IF(B113=2,#REF!,IF(B113=3,#REF!,IF(B113=4,#REF!,IF(B113=5,#REF!,IF(B113=6,#REF!,IF(B113=7,#REF!,IF(B113=8,#REF!, IF(B113=9,#REF!,IF(B113=10,#REF!,IF(B113=11,#REF!,”Error”)))))))))))</f>
        <v>#REF!</v>
      </c>
      <c r="E113" s="12" t="e">
        <f>IF(#REF!="Si",1,IF(#REF!="No",0))</f>
        <v>#REF!</v>
      </c>
      <c r="F113" s="12" t="e">
        <f>IF(#REF!="Trifásico",3,IF(#REF!="Monofásico trifilar",2,IF(#REF!="Monofásico bifilar",1)))</f>
        <v>#REF!</v>
      </c>
      <c r="G113" s="22" t="e">
        <f>IF(#REF!="Trifásico",(#REF!)/(SQRT(3)*#REF!),IF(#REF!="Monofásico trifilar",(#REF!)/(#REF!),IF(#REF!="Monofásico bifilar",(#REF!)/(#REF!))))*(1+#REF!)</f>
        <v>#REF!</v>
      </c>
      <c r="H113" s="9" t="e">
        <f>IF(F113=3,#REF!*3*((Costos!G113/#REF!)^2)*#REF!*Costos!D113*Costos!$B$4,IF(F113=2,#REF!*2*((Costos!G113/#REF!)^2)*#REF!*Costos!D113*Costos!$B$4,IF(F113=1,#REF!*((Costos!G113/#REF!)^2)*#REF!*Costos!D113*Costos!$B$4,"error")))</f>
        <v>#REF!</v>
      </c>
      <c r="I113" s="9" t="e">
        <f>#REF!*#REF!*#REF!*1000</f>
        <v>#REF!</v>
      </c>
      <c r="J113" s="72" t="e">
        <f t="shared" si="1"/>
        <v>#REF!</v>
      </c>
      <c r="K113" s="72" t="e">
        <f>IF(#REF!&gt;57.5,#REF!,IF(#REF!&gt;29.99999999,#REF!,IF(#REF!&gt;0.9999999999,#REF!,IF(#REF!&gt;0.000000001,#REF!,"Error"))))</f>
        <v>#REF!</v>
      </c>
      <c r="L113" s="13" t="e">
        <f>IF(K113&gt;J113,(1+E113*0.04)*#REF!*D113,0)</f>
        <v>#REF!</v>
      </c>
      <c r="M113" s="13" t="e">
        <f>IF(K113&gt;J113,G113^2*#REF!*D113*$B$5,0)</f>
        <v>#REF!</v>
      </c>
    </row>
    <row r="114" spans="2:13" x14ac:dyDescent="0.25">
      <c r="B114" s="2">
        <v>5</v>
      </c>
      <c r="C114" s="2" t="e">
        <f>#REF!</f>
        <v>#REF!</v>
      </c>
      <c r="D114" s="12" t="e">
        <f>IF(B114=1,#REF!,IF(B114=2,#REF!,IF(B114=3,#REF!,IF(B114=4,#REF!,IF(B114=5,#REF!,IF(B114=6,#REF!,IF(B114=7,#REF!,IF(B114=8,#REF!, IF(B114=9,#REF!,IF(B114=10,#REF!,IF(B114=11,#REF!,”Error”)))))))))))</f>
        <v>#REF!</v>
      </c>
      <c r="E114" s="12" t="e">
        <f>IF(#REF!="Si",1,IF(#REF!="No",0))</f>
        <v>#REF!</v>
      </c>
      <c r="F114" s="12" t="e">
        <f>IF(#REF!="Trifásico",3,IF(#REF!="Monofásico trifilar",2,IF(#REF!="Monofásico bifilar",1)))</f>
        <v>#REF!</v>
      </c>
      <c r="G114" s="22" t="e">
        <f>IF(#REF!="Trifásico",(#REF!)/(SQRT(3)*#REF!),IF(#REF!="Monofásico trifilar",(#REF!)/(#REF!),IF(#REF!="Monofásico bifilar",(#REF!)/(#REF!))))*(1+#REF!)</f>
        <v>#REF!</v>
      </c>
      <c r="H114" s="9" t="e">
        <f>IF(F114=3,#REF!*3*((Costos!G114/#REF!)^2)*#REF!*Costos!D114*Costos!$B$4,IF(F114=2,#REF!*2*((Costos!G114/#REF!)^2)*#REF!*Costos!D114*Costos!$B$4,IF(F114=1,#REF!*((Costos!G114/#REF!)^2)*#REF!*Costos!D114*Costos!$B$4,"error")))</f>
        <v>#REF!</v>
      </c>
      <c r="I114" s="9" t="e">
        <f>#REF!*#REF!*#REF!*1000</f>
        <v>#REF!</v>
      </c>
      <c r="J114" s="72" t="e">
        <f t="shared" si="1"/>
        <v>#REF!</v>
      </c>
      <c r="K114" s="72" t="e">
        <f>IF(#REF!&gt;57.5,#REF!,IF(#REF!&gt;29.99999999,#REF!,IF(#REF!&gt;0.9999999999,#REF!,IF(#REF!&gt;0.000000001,#REF!,"Error"))))</f>
        <v>#REF!</v>
      </c>
      <c r="L114" s="13" t="e">
        <f>IF(K114&gt;J114,(1+E114*0.04)*#REF!*D114,0)</f>
        <v>#REF!</v>
      </c>
      <c r="M114" s="13" t="e">
        <f>IF(K114&gt;J114,G114^2*#REF!*D114*$B$5,0)</f>
        <v>#REF!</v>
      </c>
    </row>
    <row r="115" spans="2:13" x14ac:dyDescent="0.25">
      <c r="B115" s="2">
        <v>5</v>
      </c>
      <c r="C115" s="2" t="e">
        <f>#REF!</f>
        <v>#REF!</v>
      </c>
      <c r="D115" s="12" t="e">
        <f>IF(B115=1,#REF!,IF(B115=2,#REF!,IF(B115=3,#REF!,IF(B115=4,#REF!,IF(B115=5,#REF!,IF(B115=6,#REF!,IF(B115=7,#REF!,IF(B115=8,#REF!, IF(B115=9,#REF!,IF(B115=10,#REF!,IF(B115=11,#REF!,”Error”)))))))))))</f>
        <v>#REF!</v>
      </c>
      <c r="E115" s="12" t="e">
        <f>IF(#REF!="Si",1,IF(#REF!="No",0))</f>
        <v>#REF!</v>
      </c>
      <c r="F115" s="12" t="e">
        <f>IF(#REF!="Trifásico",3,IF(#REF!="Monofásico trifilar",2,IF(#REF!="Monofásico bifilar",1)))</f>
        <v>#REF!</v>
      </c>
      <c r="G115" s="22" t="e">
        <f>IF(#REF!="Trifásico",(#REF!)/(SQRT(3)*#REF!),IF(#REF!="Monofásico trifilar",(#REF!)/(#REF!),IF(#REF!="Monofásico bifilar",(#REF!)/(#REF!))))*(1+#REF!)</f>
        <v>#REF!</v>
      </c>
      <c r="H115" s="9" t="e">
        <f>IF(F115=3,#REF!*3*((Costos!G115/#REF!)^2)*#REF!*Costos!D115*Costos!$B$4,IF(F115=2,#REF!*2*((Costos!G115/#REF!)^2)*#REF!*Costos!D115*Costos!$B$4,IF(F115=1,#REF!*((Costos!G115/#REF!)^2)*#REF!*Costos!D115*Costos!$B$4,"error")))</f>
        <v>#REF!</v>
      </c>
      <c r="I115" s="9" t="e">
        <f>#REF!*#REF!*#REF!*1000</f>
        <v>#REF!</v>
      </c>
      <c r="J115" s="72" t="e">
        <f t="shared" si="1"/>
        <v>#REF!</v>
      </c>
      <c r="K115" s="72" t="e">
        <f>IF(#REF!&gt;57.5,#REF!,IF(#REF!&gt;29.99999999,#REF!,IF(#REF!&gt;0.9999999999,#REF!,IF(#REF!&gt;0.000000001,#REF!,"Error"))))</f>
        <v>#REF!</v>
      </c>
      <c r="L115" s="13" t="e">
        <f>IF(K115&gt;J115,(1+E115*0.04)*#REF!*D115,0)</f>
        <v>#REF!</v>
      </c>
      <c r="M115" s="13" t="e">
        <f>IF(K115&gt;J115,G115^2*#REF!*D115*$B$5,0)</f>
        <v>#REF!</v>
      </c>
    </row>
    <row r="116" spans="2:13" x14ac:dyDescent="0.25">
      <c r="B116" s="2">
        <v>5</v>
      </c>
      <c r="C116" s="2" t="e">
        <f>#REF!</f>
        <v>#REF!</v>
      </c>
      <c r="D116" s="12" t="e">
        <f>IF(B116=1,#REF!,IF(B116=2,#REF!,IF(B116=3,#REF!,IF(B116=4,#REF!,IF(B116=5,#REF!,IF(B116=6,#REF!,IF(B116=7,#REF!,IF(B116=8,#REF!, IF(B116=9,#REF!,IF(B116=10,#REF!,IF(B116=11,#REF!,”Error”)))))))))))</f>
        <v>#REF!</v>
      </c>
      <c r="E116" s="12" t="e">
        <f>IF(#REF!="Si",1,IF(#REF!="No",0))</f>
        <v>#REF!</v>
      </c>
      <c r="F116" s="12" t="e">
        <f>IF(#REF!="Trifásico",3,IF(#REF!="Monofásico trifilar",2,IF(#REF!="Monofásico bifilar",1)))</f>
        <v>#REF!</v>
      </c>
      <c r="G116" s="22" t="e">
        <f>IF(#REF!="Trifásico",(#REF!)/(SQRT(3)*#REF!),IF(#REF!="Monofásico trifilar",(#REF!)/(#REF!),IF(#REF!="Monofásico bifilar",(#REF!)/(#REF!))))*(1+#REF!)</f>
        <v>#REF!</v>
      </c>
      <c r="H116" s="9" t="e">
        <f>IF(F116=3,#REF!*3*((Costos!G116/#REF!)^2)*#REF!*Costos!D116*Costos!$B$4,IF(F116=2,#REF!*2*((Costos!G116/#REF!)^2)*#REF!*Costos!D116*Costos!$B$4,IF(F116=1,#REF!*((Costos!G116/#REF!)^2)*#REF!*Costos!D116*Costos!$B$4,"error")))</f>
        <v>#REF!</v>
      </c>
      <c r="I116" s="9" t="e">
        <f>#REF!*#REF!*#REF!*1000</f>
        <v>#REF!</v>
      </c>
      <c r="J116" s="72" t="e">
        <f t="shared" si="1"/>
        <v>#REF!</v>
      </c>
      <c r="K116" s="72" t="e">
        <f>IF(#REF!&gt;57.5,#REF!,IF(#REF!&gt;29.99999999,#REF!,IF(#REF!&gt;0.9999999999,#REF!,IF(#REF!&gt;0.000000001,#REF!,"Error"))))</f>
        <v>#REF!</v>
      </c>
      <c r="L116" s="13" t="e">
        <f>IF(K116&gt;J116,(1+E116*0.04)*#REF!*D116,0)</f>
        <v>#REF!</v>
      </c>
      <c r="M116" s="13" t="e">
        <f>IF(K116&gt;J116,G116^2*#REF!*D116*$B$5,0)</f>
        <v>#REF!</v>
      </c>
    </row>
    <row r="117" spans="2:13" x14ac:dyDescent="0.25">
      <c r="B117" s="2">
        <v>5</v>
      </c>
      <c r="C117" s="2" t="e">
        <f>#REF!</f>
        <v>#REF!</v>
      </c>
      <c r="D117" s="12" t="e">
        <f>IF(B117=1,#REF!,IF(B117=2,#REF!,IF(B117=3,#REF!,IF(B117=4,#REF!,IF(B117=5,#REF!,IF(B117=6,#REF!,IF(B117=7,#REF!,IF(B117=8,#REF!, IF(B117=9,#REF!,IF(B117=10,#REF!,IF(B117=11,#REF!,”Error”)))))))))))</f>
        <v>#REF!</v>
      </c>
      <c r="E117" s="12" t="e">
        <f>IF(#REF!="Si",1,IF(#REF!="No",0))</f>
        <v>#REF!</v>
      </c>
      <c r="F117" s="12" t="e">
        <f>IF(#REF!="Trifásico",3,IF(#REF!="Monofásico trifilar",2,IF(#REF!="Monofásico bifilar",1)))</f>
        <v>#REF!</v>
      </c>
      <c r="G117" s="22" t="e">
        <f>IF(#REF!="Trifásico",(#REF!)/(SQRT(3)*#REF!),IF(#REF!="Monofásico trifilar",(#REF!)/(#REF!),IF(#REF!="Monofásico bifilar",(#REF!)/(#REF!))))*(1+#REF!)</f>
        <v>#REF!</v>
      </c>
      <c r="H117" s="9" t="e">
        <f>IF(F117=3,#REF!*3*((Costos!G117/#REF!)^2)*#REF!*Costos!D117*Costos!$B$4,IF(F117=2,#REF!*2*((Costos!G117/#REF!)^2)*#REF!*Costos!D117*Costos!$B$4,IF(F117=1,#REF!*((Costos!G117/#REF!)^2)*#REF!*Costos!D117*Costos!$B$4,"error")))</f>
        <v>#REF!</v>
      </c>
      <c r="I117" s="9" t="e">
        <f>#REF!*#REF!*#REF!*1000</f>
        <v>#REF!</v>
      </c>
      <c r="J117" s="72" t="e">
        <f t="shared" si="1"/>
        <v>#REF!</v>
      </c>
      <c r="K117" s="72" t="e">
        <f>IF(#REF!&gt;57.5,#REF!,IF(#REF!&gt;29.99999999,#REF!,IF(#REF!&gt;0.9999999999,#REF!,IF(#REF!&gt;0.000000001,#REF!,"Error"))))</f>
        <v>#REF!</v>
      </c>
      <c r="L117" s="13" t="e">
        <f>IF(K117&gt;J117,(1+E117*0.04)*#REF!*D117,0)</f>
        <v>#REF!</v>
      </c>
      <c r="M117" s="13" t="e">
        <f>IF(K117&gt;J117,G117^2*#REF!*D117*$B$5,0)</f>
        <v>#REF!</v>
      </c>
    </row>
    <row r="118" spans="2:13" x14ac:dyDescent="0.25">
      <c r="B118" s="2">
        <v>5</v>
      </c>
      <c r="C118" s="2" t="e">
        <f>#REF!</f>
        <v>#REF!</v>
      </c>
      <c r="D118" s="12" t="e">
        <f>IF(B118=1,#REF!,IF(B118=2,#REF!,IF(B118=3,#REF!,IF(B118=4,#REF!,IF(B118=5,#REF!,IF(B118=6,#REF!,IF(B118=7,#REF!,IF(B118=8,#REF!, IF(B118=9,#REF!,IF(B118=10,#REF!,IF(B118=11,#REF!,”Error”)))))))))))</f>
        <v>#REF!</v>
      </c>
      <c r="E118" s="12" t="e">
        <f>IF(#REF!="Si",1,IF(#REF!="No",0))</f>
        <v>#REF!</v>
      </c>
      <c r="F118" s="12" t="e">
        <f>IF(#REF!="Trifásico",3,IF(#REF!="Monofásico trifilar",2,IF(#REF!="Monofásico bifilar",1)))</f>
        <v>#REF!</v>
      </c>
      <c r="G118" s="22" t="e">
        <f>IF(#REF!="Trifásico",(#REF!)/(SQRT(3)*#REF!),IF(#REF!="Monofásico trifilar",(#REF!)/(#REF!),IF(#REF!="Monofásico bifilar",(#REF!)/(#REF!))))*(1+#REF!)</f>
        <v>#REF!</v>
      </c>
      <c r="H118" s="9" t="e">
        <f>IF(F118=3,#REF!*3*((Costos!G118/#REF!)^2)*#REF!*Costos!D118*Costos!$B$4,IF(F118=2,#REF!*2*((Costos!G118/#REF!)^2)*#REF!*Costos!D118*Costos!$B$4,IF(F118=1,#REF!*((Costos!G118/#REF!)^2)*#REF!*Costos!D118*Costos!$B$4,"error")))</f>
        <v>#REF!</v>
      </c>
      <c r="I118" s="9" t="e">
        <f>#REF!*#REF!*#REF!*1000</f>
        <v>#REF!</v>
      </c>
      <c r="J118" s="72" t="e">
        <f t="shared" si="1"/>
        <v>#REF!</v>
      </c>
      <c r="K118" s="72" t="e">
        <f>IF(#REF!&gt;57.5,#REF!,IF(#REF!&gt;29.99999999,#REF!,IF(#REF!&gt;0.9999999999,#REF!,IF(#REF!&gt;0.000000001,#REF!,"Error"))))</f>
        <v>#REF!</v>
      </c>
      <c r="L118" s="13" t="e">
        <f>IF(K118&gt;J118,(1+E118*0.04)*#REF!*D118,0)</f>
        <v>#REF!</v>
      </c>
      <c r="M118" s="13" t="e">
        <f>IF(K118&gt;J118,G118^2*#REF!*D118*$B$5,0)</f>
        <v>#REF!</v>
      </c>
    </row>
    <row r="119" spans="2:13" x14ac:dyDescent="0.25">
      <c r="B119" s="2">
        <v>5</v>
      </c>
      <c r="C119" s="2" t="e">
        <f>#REF!</f>
        <v>#REF!</v>
      </c>
      <c r="D119" s="12" t="e">
        <f>IF(B119=1,#REF!,IF(B119=2,#REF!,IF(B119=3,#REF!,IF(B119=4,#REF!,IF(B119=5,#REF!,IF(B119=6,#REF!,IF(B119=7,#REF!,IF(B119=8,#REF!, IF(B119=9,#REF!,IF(B119=10,#REF!,IF(B119=11,#REF!,”Error”)))))))))))</f>
        <v>#REF!</v>
      </c>
      <c r="E119" s="12" t="e">
        <f>IF(#REF!="Si",1,IF(#REF!="No",0))</f>
        <v>#REF!</v>
      </c>
      <c r="F119" s="12" t="e">
        <f>IF(#REF!="Trifásico",3,IF(#REF!="Monofásico trifilar",2,IF(#REF!="Monofásico bifilar",1)))</f>
        <v>#REF!</v>
      </c>
      <c r="G119" s="22" t="e">
        <f>IF(#REF!="Trifásico",(#REF!)/(SQRT(3)*#REF!),IF(#REF!="Monofásico trifilar",(#REF!)/(#REF!),IF(#REF!="Monofásico bifilar",(#REF!)/(#REF!))))*(1+#REF!)</f>
        <v>#REF!</v>
      </c>
      <c r="H119" s="9" t="e">
        <f>IF(F119=3,#REF!*3*((Costos!G119/#REF!)^2)*#REF!*Costos!D119*Costos!$B$4,IF(F119=2,#REF!*2*((Costos!G119/#REF!)^2)*#REF!*Costos!D119*Costos!$B$4,IF(F119=1,#REF!*((Costos!G119/#REF!)^2)*#REF!*Costos!D119*Costos!$B$4,"error")))</f>
        <v>#REF!</v>
      </c>
      <c r="I119" s="9" t="e">
        <f>#REF!*#REF!*#REF!*1000</f>
        <v>#REF!</v>
      </c>
      <c r="J119" s="72" t="e">
        <f t="shared" si="1"/>
        <v>#REF!</v>
      </c>
      <c r="K119" s="72" t="e">
        <f>IF(#REF!&gt;57.5,#REF!,IF(#REF!&gt;29.99999999,#REF!,IF(#REF!&gt;0.9999999999,#REF!,IF(#REF!&gt;0.000000001,#REF!,"Error"))))</f>
        <v>#REF!</v>
      </c>
      <c r="L119" s="13" t="e">
        <f>IF(K119&gt;J119,(1+E119*0.04)*#REF!*D119,0)</f>
        <v>#REF!</v>
      </c>
      <c r="M119" s="13" t="e">
        <f>IF(K119&gt;J119,G119^2*#REF!*D119*$B$5,0)</f>
        <v>#REF!</v>
      </c>
    </row>
    <row r="120" spans="2:13" x14ac:dyDescent="0.25">
      <c r="B120" s="2">
        <v>5</v>
      </c>
      <c r="C120" s="2" t="e">
        <f>#REF!</f>
        <v>#REF!</v>
      </c>
      <c r="D120" s="12" t="e">
        <f>IF(B120=1,#REF!,IF(B120=2,#REF!,IF(B120=3,#REF!,IF(B120=4,#REF!,IF(B120=5,#REF!,IF(B120=6,#REF!,IF(B120=7,#REF!,IF(B120=8,#REF!, IF(B120=9,#REF!,IF(B120=10,#REF!,IF(B120=11,#REF!,”Error”)))))))))))</f>
        <v>#REF!</v>
      </c>
      <c r="E120" s="12" t="e">
        <f>IF(#REF!="Si",1,IF(#REF!="No",0))</f>
        <v>#REF!</v>
      </c>
      <c r="F120" s="12" t="e">
        <f>IF(#REF!="Trifásico",3,IF(#REF!="Monofásico trifilar",2,IF(#REF!="Monofásico bifilar",1)))</f>
        <v>#REF!</v>
      </c>
      <c r="G120" s="22" t="e">
        <f>IF(#REF!="Trifásico",(#REF!)/(SQRT(3)*#REF!),IF(#REF!="Monofásico trifilar",(#REF!)/(#REF!),IF(#REF!="Monofásico bifilar",(#REF!)/(#REF!))))*(1+#REF!)</f>
        <v>#REF!</v>
      </c>
      <c r="H120" s="9" t="e">
        <f>IF(F120=3,#REF!*3*((Costos!G120/#REF!)^2)*#REF!*Costos!D120*Costos!$B$4,IF(F120=2,#REF!*2*((Costos!G120/#REF!)^2)*#REF!*Costos!D120*Costos!$B$4,IF(F120=1,#REF!*((Costos!G120/#REF!)^2)*#REF!*Costos!D120*Costos!$B$4,"error")))</f>
        <v>#REF!</v>
      </c>
      <c r="I120" s="9" t="e">
        <f>#REF!*#REF!*#REF!*1000</f>
        <v>#REF!</v>
      </c>
      <c r="J120" s="72" t="e">
        <f t="shared" si="1"/>
        <v>#REF!</v>
      </c>
      <c r="K120" s="72" t="e">
        <f>IF(#REF!&gt;57.5,#REF!,IF(#REF!&gt;29.99999999,#REF!,IF(#REF!&gt;0.9999999999,#REF!,IF(#REF!&gt;0.000000001,#REF!,"Error"))))</f>
        <v>#REF!</v>
      </c>
      <c r="L120" s="13" t="e">
        <f>IF(K120&gt;J120,(1+E120*0.04)*#REF!*D120,0)</f>
        <v>#REF!</v>
      </c>
      <c r="M120" s="13" t="e">
        <f>IF(K120&gt;J120,G120^2*#REF!*D120*$B$5,0)</f>
        <v>#REF!</v>
      </c>
    </row>
    <row r="121" spans="2:13" x14ac:dyDescent="0.25">
      <c r="B121" s="2">
        <v>5</v>
      </c>
      <c r="C121" s="2" t="e">
        <f>#REF!</f>
        <v>#REF!</v>
      </c>
      <c r="D121" s="12" t="e">
        <f>IF(B121=1,#REF!,IF(B121=2,#REF!,IF(B121=3,#REF!,IF(B121=4,#REF!,IF(B121=5,#REF!,IF(B121=6,#REF!,IF(B121=7,#REF!,IF(B121=8,#REF!, IF(B121=9,#REF!,IF(B121=10,#REF!,IF(B121=11,#REF!,”Error”)))))))))))</f>
        <v>#REF!</v>
      </c>
      <c r="E121" s="12" t="e">
        <f>IF(#REF!="Si",1,IF(#REF!="No",0))</f>
        <v>#REF!</v>
      </c>
      <c r="F121" s="12" t="e">
        <f>IF(#REF!="Trifásico",3,IF(#REF!="Monofásico trifilar",2,IF(#REF!="Monofásico bifilar",1)))</f>
        <v>#REF!</v>
      </c>
      <c r="G121" s="22" t="e">
        <f>IF(#REF!="Trifásico",(#REF!)/(SQRT(3)*#REF!),IF(#REF!="Monofásico trifilar",(#REF!)/(#REF!),IF(#REF!="Monofásico bifilar",(#REF!)/(#REF!))))*(1+#REF!)</f>
        <v>#REF!</v>
      </c>
      <c r="H121" s="9" t="e">
        <f>IF(F121=3,#REF!*3*((Costos!G121/#REF!)^2)*#REF!*Costos!D121*Costos!$B$4,IF(F121=2,#REF!*2*((Costos!G121/#REF!)^2)*#REF!*Costos!D121*Costos!$B$4,IF(F121=1,#REF!*((Costos!G121/#REF!)^2)*#REF!*Costos!D121*Costos!$B$4,"error")))</f>
        <v>#REF!</v>
      </c>
      <c r="I121" s="9" t="e">
        <f>#REF!*#REF!*#REF!*1000</f>
        <v>#REF!</v>
      </c>
      <c r="J121" s="72" t="e">
        <f t="shared" si="1"/>
        <v>#REF!</v>
      </c>
      <c r="K121" s="72" t="e">
        <f>IF(#REF!&gt;57.5,#REF!,IF(#REF!&gt;29.99999999,#REF!,IF(#REF!&gt;0.9999999999,#REF!,IF(#REF!&gt;0.000000001,#REF!,"Error"))))</f>
        <v>#REF!</v>
      </c>
      <c r="L121" s="13" t="e">
        <f>IF(K121&gt;J121,(1+E121*0.04)*#REF!*D121,0)</f>
        <v>#REF!</v>
      </c>
      <c r="M121" s="13" t="e">
        <f>IF(K121&gt;J121,G121^2*#REF!*D121*$B$5,0)</f>
        <v>#REF!</v>
      </c>
    </row>
    <row r="122" spans="2:13" x14ac:dyDescent="0.25">
      <c r="B122" s="2">
        <v>5</v>
      </c>
      <c r="C122" s="2" t="e">
        <f>#REF!</f>
        <v>#REF!</v>
      </c>
      <c r="D122" s="12" t="e">
        <f>IF(B122=1,#REF!,IF(B122=2,#REF!,IF(B122=3,#REF!,IF(B122=4,#REF!,IF(B122=5,#REF!,IF(B122=6,#REF!,IF(B122=7,#REF!,IF(B122=8,#REF!, IF(B122=9,#REF!,IF(B122=10,#REF!,IF(B122=11,#REF!,”Error”)))))))))))</f>
        <v>#REF!</v>
      </c>
      <c r="E122" s="12" t="e">
        <f>IF(#REF!="Si",1,IF(#REF!="No",0))</f>
        <v>#REF!</v>
      </c>
      <c r="F122" s="12" t="e">
        <f>IF(#REF!="Trifásico",3,IF(#REF!="Monofásico trifilar",2,IF(#REF!="Monofásico bifilar",1)))</f>
        <v>#REF!</v>
      </c>
      <c r="G122" s="22" t="e">
        <f>IF(#REF!="Trifásico",(#REF!)/(SQRT(3)*#REF!),IF(#REF!="Monofásico trifilar",(#REF!)/(#REF!),IF(#REF!="Monofásico bifilar",(#REF!)/(#REF!))))*(1+#REF!)</f>
        <v>#REF!</v>
      </c>
      <c r="H122" s="9" t="e">
        <f>IF(F122=3,#REF!*3*((Costos!G122/#REF!)^2)*#REF!*Costos!D122*Costos!$B$4,IF(F122=2,#REF!*2*((Costos!G122/#REF!)^2)*#REF!*Costos!D122*Costos!$B$4,IF(F122=1,#REF!*((Costos!G122/#REF!)^2)*#REF!*Costos!D122*Costos!$B$4,"error")))</f>
        <v>#REF!</v>
      </c>
      <c r="I122" s="9" t="e">
        <f>#REF!*#REF!*#REF!*1000</f>
        <v>#REF!</v>
      </c>
      <c r="J122" s="72" t="e">
        <f t="shared" si="1"/>
        <v>#REF!</v>
      </c>
      <c r="K122" s="72" t="e">
        <f>IF(#REF!&gt;57.5,#REF!,IF(#REF!&gt;29.99999999,#REF!,IF(#REF!&gt;0.9999999999,#REF!,IF(#REF!&gt;0.000000001,#REF!,"Error"))))</f>
        <v>#REF!</v>
      </c>
      <c r="L122" s="13" t="e">
        <f>IF(K122&gt;J122,(1+E122*0.04)*#REF!*D122,0)</f>
        <v>#REF!</v>
      </c>
      <c r="M122" s="13" t="e">
        <f>IF(K122&gt;J122,G122^2*#REF!*D122*$B$5,0)</f>
        <v>#REF!</v>
      </c>
    </row>
    <row r="123" spans="2:13" x14ac:dyDescent="0.25">
      <c r="B123" s="2">
        <v>6</v>
      </c>
      <c r="C123" s="2" t="e">
        <f>#REF!</f>
        <v>#REF!</v>
      </c>
      <c r="D123" s="12" t="e">
        <f>IF(B123=1,#REF!,IF(B123=2,#REF!,IF(B123=3,#REF!,IF(B123=4,#REF!,IF(B123=5,#REF!,IF(B123=6,#REF!,IF(B123=7,#REF!,IF(B123=8,#REF!, IF(B123=9,#REF!,IF(B123=10,#REF!,IF(B123=11,#REF!,”Error”)))))))))))</f>
        <v>#REF!</v>
      </c>
      <c r="E123" s="12" t="e">
        <f>IF(#REF!="Si",1,IF(#REF!="No",0))</f>
        <v>#REF!</v>
      </c>
      <c r="F123" s="12" t="e">
        <f>IF(#REF!="Trifásico",3,IF(#REF!="Monofásico trifilar",2,IF(#REF!="Monofásico bifilar",1)))</f>
        <v>#REF!</v>
      </c>
      <c r="G123" s="22" t="e">
        <f>IF(#REF!="Trifásico",(#REF!)/(SQRT(3)*#REF!),IF(#REF!="Monofásico trifilar",(#REF!)/(#REF!),IF(#REF!="Monofásico bifilar",(#REF!)/(#REF!))))*(1+#REF!)</f>
        <v>#REF!</v>
      </c>
      <c r="H123" s="9" t="e">
        <f>IF(F123=3,#REF!*3*((Costos!G123/#REF!)^2)*#REF!*Costos!D123*Costos!$B$4,IF(F123=2,#REF!*2*((Costos!G123/#REF!)^2)*#REF!*Costos!D123*Costos!$B$4,IF(F123=1,#REF!*((Costos!G123/#REF!)^2)*#REF!*Costos!D123*Costos!$B$4,"error")))</f>
        <v>#REF!</v>
      </c>
      <c r="I123" s="9" t="e">
        <f>#REF!*#REF!*#REF!*1000</f>
        <v>#REF!</v>
      </c>
      <c r="J123" s="72" t="e">
        <f t="shared" si="1"/>
        <v>#REF!</v>
      </c>
      <c r="K123" s="72" t="e">
        <f>IF(#REF!&gt;57.5,#REF!,IF(#REF!&gt;29.99999999,#REF!,IF(#REF!&gt;0.9999999999,#REF!,IF(#REF!&gt;0.000000001,#REF!,"Error"))))</f>
        <v>#REF!</v>
      </c>
      <c r="L123" s="13" t="e">
        <f>IF(K123&gt;J123,(1+E123*0.04)*#REF!*D123,0)</f>
        <v>#REF!</v>
      </c>
      <c r="M123" s="13" t="e">
        <f>IF(K123&gt;J123,G123^2*#REF!*D123*$B$5,0)</f>
        <v>#REF!</v>
      </c>
    </row>
    <row r="124" spans="2:13" x14ac:dyDescent="0.25">
      <c r="B124" s="2">
        <v>6</v>
      </c>
      <c r="C124" s="2" t="e">
        <f>#REF!</f>
        <v>#REF!</v>
      </c>
      <c r="D124" s="12" t="e">
        <f>IF(B124=1,#REF!,IF(B124=2,#REF!,IF(B124=3,#REF!,IF(B124=4,#REF!,IF(B124=5,#REF!,IF(B124=6,#REF!,IF(B124=7,#REF!,IF(B124=8,#REF!, IF(B124=9,#REF!,IF(B124=10,#REF!,IF(B124=11,#REF!,”Error”)))))))))))</f>
        <v>#REF!</v>
      </c>
      <c r="E124" s="12" t="e">
        <f>IF(#REF!="Si",1,IF(#REF!="No",0))</f>
        <v>#REF!</v>
      </c>
      <c r="F124" s="12" t="e">
        <f>IF(#REF!="Trifásico",3,IF(#REF!="Monofásico trifilar",2,IF(#REF!="Monofásico bifilar",1)))</f>
        <v>#REF!</v>
      </c>
      <c r="G124" s="22" t="e">
        <f>IF(#REF!="Trifásico",(#REF!)/(SQRT(3)*#REF!),IF(#REF!="Monofásico trifilar",(#REF!)/(#REF!),IF(#REF!="Monofásico bifilar",(#REF!)/(#REF!))))*(1+#REF!)</f>
        <v>#REF!</v>
      </c>
      <c r="H124" s="9" t="e">
        <f>IF(F124=3,#REF!*3*((Costos!G124/#REF!)^2)*#REF!*Costos!D124*Costos!$B$4,IF(F124=2,#REF!*2*((Costos!G124/#REF!)^2)*#REF!*Costos!D124*Costos!$B$4,IF(F124=1,#REF!*((Costos!G124/#REF!)^2)*#REF!*Costos!D124*Costos!$B$4,"error")))</f>
        <v>#REF!</v>
      </c>
      <c r="I124" s="9" t="e">
        <f>#REF!*#REF!*#REF!*1000</f>
        <v>#REF!</v>
      </c>
      <c r="J124" s="72" t="e">
        <f t="shared" si="1"/>
        <v>#REF!</v>
      </c>
      <c r="K124" s="72" t="e">
        <f>IF(#REF!&gt;57.5,#REF!,IF(#REF!&gt;29.99999999,#REF!,IF(#REF!&gt;0.9999999999,#REF!,IF(#REF!&gt;0.000000001,#REF!,"Error"))))</f>
        <v>#REF!</v>
      </c>
      <c r="L124" s="13" t="e">
        <f>IF(K124&gt;J124,(1+E124*0.04)*#REF!*D124,0)</f>
        <v>#REF!</v>
      </c>
      <c r="M124" s="13" t="e">
        <f>IF(K124&gt;J124,G124^2*#REF!*D124*$B$5,0)</f>
        <v>#REF!</v>
      </c>
    </row>
    <row r="125" spans="2:13" x14ac:dyDescent="0.25">
      <c r="B125" s="2">
        <v>6</v>
      </c>
      <c r="C125" s="2" t="e">
        <f>#REF!</f>
        <v>#REF!</v>
      </c>
      <c r="D125" s="12" t="e">
        <f>IF(B125=1,#REF!,IF(B125=2,#REF!,IF(B125=3,#REF!,IF(B125=4,#REF!,IF(B125=5,#REF!,IF(B125=6,#REF!,IF(B125=7,#REF!,IF(B125=8,#REF!, IF(B125=9,#REF!,IF(B125=10,#REF!,IF(B125=11,#REF!,”Error”)))))))))))</f>
        <v>#REF!</v>
      </c>
      <c r="E125" s="12" t="e">
        <f>IF(#REF!="Si",1,IF(#REF!="No",0))</f>
        <v>#REF!</v>
      </c>
      <c r="F125" s="12" t="e">
        <f>IF(#REF!="Trifásico",3,IF(#REF!="Monofásico trifilar",2,IF(#REF!="Monofásico bifilar",1)))</f>
        <v>#REF!</v>
      </c>
      <c r="G125" s="22" t="e">
        <f>IF(#REF!="Trifásico",(#REF!)/(SQRT(3)*#REF!),IF(#REF!="Monofásico trifilar",(#REF!)/(#REF!),IF(#REF!="Monofásico bifilar",(#REF!)/(#REF!))))*(1+#REF!)</f>
        <v>#REF!</v>
      </c>
      <c r="H125" s="9" t="e">
        <f>IF(F125=3,#REF!*3*((Costos!G125/#REF!)^2)*#REF!*Costos!D125*Costos!$B$4,IF(F125=2,#REF!*2*((Costos!G125/#REF!)^2)*#REF!*Costos!D125*Costos!$B$4,IF(F125=1,#REF!*((Costos!G125/#REF!)^2)*#REF!*Costos!D125*Costos!$B$4,"error")))</f>
        <v>#REF!</v>
      </c>
      <c r="I125" s="9" t="e">
        <f>#REF!*#REF!*#REF!*1000</f>
        <v>#REF!</v>
      </c>
      <c r="J125" s="72" t="e">
        <f t="shared" si="1"/>
        <v>#REF!</v>
      </c>
      <c r="K125" s="72" t="e">
        <f>IF(#REF!&gt;57.5,#REF!,IF(#REF!&gt;29.99999999,#REF!,IF(#REF!&gt;0.9999999999,#REF!,IF(#REF!&gt;0.000000001,#REF!,"Error"))))</f>
        <v>#REF!</v>
      </c>
      <c r="L125" s="13" t="e">
        <f>IF(K125&gt;J125,(1+E125*0.04)*#REF!*D125,0)</f>
        <v>#REF!</v>
      </c>
      <c r="M125" s="13" t="e">
        <f>IF(K125&gt;J125,G125^2*#REF!*D125*$B$5,0)</f>
        <v>#REF!</v>
      </c>
    </row>
    <row r="126" spans="2:13" x14ac:dyDescent="0.25">
      <c r="B126" s="2">
        <v>6</v>
      </c>
      <c r="C126" s="2" t="e">
        <f>#REF!</f>
        <v>#REF!</v>
      </c>
      <c r="D126" s="12" t="e">
        <f>IF(B126=1,#REF!,IF(B126=2,#REF!,IF(B126=3,#REF!,IF(B126=4,#REF!,IF(B126=5,#REF!,IF(B126=6,#REF!,IF(B126=7,#REF!,IF(B126=8,#REF!, IF(B126=9,#REF!,IF(B126=10,#REF!,IF(B126=11,#REF!,”Error”)))))))))))</f>
        <v>#REF!</v>
      </c>
      <c r="E126" s="12" t="e">
        <f>IF(#REF!="Si",1,IF(#REF!="No",0))</f>
        <v>#REF!</v>
      </c>
      <c r="F126" s="12" t="e">
        <f>IF(#REF!="Trifásico",3,IF(#REF!="Monofásico trifilar",2,IF(#REF!="Monofásico bifilar",1)))</f>
        <v>#REF!</v>
      </c>
      <c r="G126" s="22" t="e">
        <f>IF(#REF!="Trifásico",(#REF!)/(SQRT(3)*#REF!),IF(#REF!="Monofásico trifilar",(#REF!)/(#REF!),IF(#REF!="Monofásico bifilar",(#REF!)/(#REF!))))*(1+#REF!)</f>
        <v>#REF!</v>
      </c>
      <c r="H126" s="9" t="e">
        <f>IF(F126=3,#REF!*3*((Costos!G126/#REF!)^2)*#REF!*Costos!D126*Costos!$B$4,IF(F126=2,#REF!*2*((Costos!G126/#REF!)^2)*#REF!*Costos!D126*Costos!$B$4,IF(F126=1,#REF!*((Costos!G126/#REF!)^2)*#REF!*Costos!D126*Costos!$B$4,"error")))</f>
        <v>#REF!</v>
      </c>
      <c r="I126" s="9" t="e">
        <f>#REF!*#REF!*#REF!*1000</f>
        <v>#REF!</v>
      </c>
      <c r="J126" s="72" t="e">
        <f t="shared" si="1"/>
        <v>#REF!</v>
      </c>
      <c r="K126" s="72" t="e">
        <f>IF(#REF!&gt;57.5,#REF!,IF(#REF!&gt;29.99999999,#REF!,IF(#REF!&gt;0.9999999999,#REF!,IF(#REF!&gt;0.000000001,#REF!,"Error"))))</f>
        <v>#REF!</v>
      </c>
      <c r="L126" s="13" t="e">
        <f>IF(K126&gt;J126,(1+E126*0.04)*#REF!*D126,0)</f>
        <v>#REF!</v>
      </c>
      <c r="M126" s="13" t="e">
        <f>IF(K126&gt;J126,G126^2*#REF!*D126*$B$5,0)</f>
        <v>#REF!</v>
      </c>
    </row>
    <row r="127" spans="2:13" x14ac:dyDescent="0.25">
      <c r="B127" s="2">
        <v>6</v>
      </c>
      <c r="C127" s="2" t="e">
        <f>#REF!</f>
        <v>#REF!</v>
      </c>
      <c r="D127" s="12" t="e">
        <f>IF(B127=1,#REF!,IF(B127=2,#REF!,IF(B127=3,#REF!,IF(B127=4,#REF!,IF(B127=5,#REF!,IF(B127=6,#REF!,IF(B127=7,#REF!,IF(B127=8,#REF!, IF(B127=9,#REF!,IF(B127=10,#REF!,IF(B127=11,#REF!,”Error”)))))))))))</f>
        <v>#REF!</v>
      </c>
      <c r="E127" s="12" t="e">
        <f>IF(#REF!="Si",1,IF(#REF!="No",0))</f>
        <v>#REF!</v>
      </c>
      <c r="F127" s="12" t="e">
        <f>IF(#REF!="Trifásico",3,IF(#REF!="Monofásico trifilar",2,IF(#REF!="Monofásico bifilar",1)))</f>
        <v>#REF!</v>
      </c>
      <c r="G127" s="22" t="e">
        <f>IF(#REF!="Trifásico",(#REF!)/(SQRT(3)*#REF!),IF(#REF!="Monofásico trifilar",(#REF!)/(#REF!),IF(#REF!="Monofásico bifilar",(#REF!)/(#REF!))))*(1+#REF!)</f>
        <v>#REF!</v>
      </c>
      <c r="H127" s="9" t="e">
        <f>IF(F127=3,#REF!*3*((Costos!G127/#REF!)^2)*#REF!*Costos!D127*Costos!$B$4,IF(F127=2,#REF!*2*((Costos!G127/#REF!)^2)*#REF!*Costos!D127*Costos!$B$4,IF(F127=1,#REF!*((Costos!G127/#REF!)^2)*#REF!*Costos!D127*Costos!$B$4,"error")))</f>
        <v>#REF!</v>
      </c>
      <c r="I127" s="9" t="e">
        <f>#REF!*#REF!*#REF!*1000</f>
        <v>#REF!</v>
      </c>
      <c r="J127" s="72" t="e">
        <f t="shared" si="1"/>
        <v>#REF!</v>
      </c>
      <c r="K127" s="72" t="e">
        <f>IF(#REF!&gt;57.5,#REF!,IF(#REF!&gt;29.99999999,#REF!,IF(#REF!&gt;0.9999999999,#REF!,IF(#REF!&gt;0.000000001,#REF!,"Error"))))</f>
        <v>#REF!</v>
      </c>
      <c r="L127" s="13" t="e">
        <f>IF(K127&gt;J127,(1+E127*0.04)*#REF!*D127,0)</f>
        <v>#REF!</v>
      </c>
      <c r="M127" s="13" t="e">
        <f>IF(K127&gt;J127,G127^2*#REF!*D127*$B$5,0)</f>
        <v>#REF!</v>
      </c>
    </row>
    <row r="128" spans="2:13" x14ac:dyDescent="0.25">
      <c r="B128" s="2">
        <v>6</v>
      </c>
      <c r="C128" s="2" t="e">
        <f>#REF!</f>
        <v>#REF!</v>
      </c>
      <c r="D128" s="12" t="e">
        <f>IF(B128=1,#REF!,IF(B128=2,#REF!,IF(B128=3,#REF!,IF(B128=4,#REF!,IF(B128=5,#REF!,IF(B128=6,#REF!,IF(B128=7,#REF!,IF(B128=8,#REF!, IF(B128=9,#REF!,IF(B128=10,#REF!,IF(B128=11,#REF!,”Error”)))))))))))</f>
        <v>#REF!</v>
      </c>
      <c r="E128" s="12" t="e">
        <f>IF(#REF!="Si",1,IF(#REF!="No",0))</f>
        <v>#REF!</v>
      </c>
      <c r="F128" s="12" t="e">
        <f>IF(#REF!="Trifásico",3,IF(#REF!="Monofásico trifilar",2,IF(#REF!="Monofásico bifilar",1)))</f>
        <v>#REF!</v>
      </c>
      <c r="G128" s="22" t="e">
        <f>IF(#REF!="Trifásico",(#REF!)/(SQRT(3)*#REF!),IF(#REF!="Monofásico trifilar",(#REF!)/(#REF!),IF(#REF!="Monofásico bifilar",(#REF!)/(#REF!))))*(1+#REF!)</f>
        <v>#REF!</v>
      </c>
      <c r="H128" s="9" t="e">
        <f>IF(F128=3,#REF!*3*((Costos!G128/#REF!)^2)*#REF!*Costos!D128*Costos!$B$4,IF(F128=2,#REF!*2*((Costos!G128/#REF!)^2)*#REF!*Costos!D128*Costos!$B$4,IF(F128=1,#REF!*((Costos!G128/#REF!)^2)*#REF!*Costos!D128*Costos!$B$4,"error")))</f>
        <v>#REF!</v>
      </c>
      <c r="I128" s="9" t="e">
        <f>#REF!*#REF!*#REF!*1000</f>
        <v>#REF!</v>
      </c>
      <c r="J128" s="72" t="e">
        <f t="shared" si="1"/>
        <v>#REF!</v>
      </c>
      <c r="K128" s="72" t="e">
        <f>IF(#REF!&gt;57.5,#REF!,IF(#REF!&gt;29.99999999,#REF!,IF(#REF!&gt;0.9999999999,#REF!,IF(#REF!&gt;0.000000001,#REF!,"Error"))))</f>
        <v>#REF!</v>
      </c>
      <c r="L128" s="13" t="e">
        <f>IF(K128&gt;J128,(1+E128*0.04)*#REF!*D128,0)</f>
        <v>#REF!</v>
      </c>
      <c r="M128" s="13" t="e">
        <f>IF(K128&gt;J128,G128^2*#REF!*D128*$B$5,0)</f>
        <v>#REF!</v>
      </c>
    </row>
    <row r="129" spans="2:13" x14ac:dyDescent="0.25">
      <c r="B129" s="2">
        <v>6</v>
      </c>
      <c r="C129" s="2" t="e">
        <f>#REF!</f>
        <v>#REF!</v>
      </c>
      <c r="D129" s="12" t="e">
        <f>IF(B129=1,#REF!,IF(B129=2,#REF!,IF(B129=3,#REF!,IF(B129=4,#REF!,IF(B129=5,#REF!,IF(B129=6,#REF!,IF(B129=7,#REF!,IF(B129=8,#REF!, IF(B129=9,#REF!,IF(B129=10,#REF!,IF(B129=11,#REF!,”Error”)))))))))))</f>
        <v>#REF!</v>
      </c>
      <c r="E129" s="12" t="e">
        <f>IF(#REF!="Si",1,IF(#REF!="No",0))</f>
        <v>#REF!</v>
      </c>
      <c r="F129" s="12" t="e">
        <f>IF(#REF!="Trifásico",3,IF(#REF!="Monofásico trifilar",2,IF(#REF!="Monofásico bifilar",1)))</f>
        <v>#REF!</v>
      </c>
      <c r="G129" s="22" t="e">
        <f>IF(#REF!="Trifásico",(#REF!)/(SQRT(3)*#REF!),IF(#REF!="Monofásico trifilar",(#REF!)/(#REF!),IF(#REF!="Monofásico bifilar",(#REF!)/(#REF!))))*(1+#REF!)</f>
        <v>#REF!</v>
      </c>
      <c r="H129" s="9" t="e">
        <f>IF(F129=3,#REF!*3*((Costos!G129/#REF!)^2)*#REF!*Costos!D129*Costos!$B$4,IF(F129=2,#REF!*2*((Costos!G129/#REF!)^2)*#REF!*Costos!D129*Costos!$B$4,IF(F129=1,#REF!*((Costos!G129/#REF!)^2)*#REF!*Costos!D129*Costos!$B$4,"error")))</f>
        <v>#REF!</v>
      </c>
      <c r="I129" s="9" t="e">
        <f>#REF!*#REF!*#REF!*1000</f>
        <v>#REF!</v>
      </c>
      <c r="J129" s="72" t="e">
        <f t="shared" si="1"/>
        <v>#REF!</v>
      </c>
      <c r="K129" s="72" t="e">
        <f>IF(#REF!&gt;57.5,#REF!,IF(#REF!&gt;29.99999999,#REF!,IF(#REF!&gt;0.9999999999,#REF!,IF(#REF!&gt;0.000000001,#REF!,"Error"))))</f>
        <v>#REF!</v>
      </c>
      <c r="L129" s="13" t="e">
        <f>IF(K129&gt;J129,(1+E129*0.04)*#REF!*D129,0)</f>
        <v>#REF!</v>
      </c>
      <c r="M129" s="13" t="e">
        <f>IF(K129&gt;J129,G129^2*#REF!*D129*$B$5,0)</f>
        <v>#REF!</v>
      </c>
    </row>
    <row r="130" spans="2:13" x14ac:dyDescent="0.25">
      <c r="B130" s="2">
        <v>6</v>
      </c>
      <c r="C130" s="2" t="e">
        <f>#REF!</f>
        <v>#REF!</v>
      </c>
      <c r="D130" s="12" t="e">
        <f>IF(B130=1,#REF!,IF(B130=2,#REF!,IF(B130=3,#REF!,IF(B130=4,#REF!,IF(B130=5,#REF!,IF(B130=6,#REF!,IF(B130=7,#REF!,IF(B130=8,#REF!, IF(B130=9,#REF!,IF(B130=10,#REF!,IF(B130=11,#REF!,”Error”)))))))))))</f>
        <v>#REF!</v>
      </c>
      <c r="E130" s="12" t="e">
        <f>IF(#REF!="Si",1,IF(#REF!="No",0))</f>
        <v>#REF!</v>
      </c>
      <c r="F130" s="12" t="e">
        <f>IF(#REF!="Trifásico",3,IF(#REF!="Monofásico trifilar",2,IF(#REF!="Monofásico bifilar",1)))</f>
        <v>#REF!</v>
      </c>
      <c r="G130" s="22" t="e">
        <f>IF(#REF!="Trifásico",(#REF!)/(SQRT(3)*#REF!),IF(#REF!="Monofásico trifilar",(#REF!)/(#REF!),IF(#REF!="Monofásico bifilar",(#REF!)/(#REF!))))*(1+#REF!)</f>
        <v>#REF!</v>
      </c>
      <c r="H130" s="9" t="e">
        <f>IF(F130=3,#REF!*3*((Costos!G130/#REF!)^2)*#REF!*Costos!D130*Costos!$B$4,IF(F130=2,#REF!*2*((Costos!G130/#REF!)^2)*#REF!*Costos!D130*Costos!$B$4,IF(F130=1,#REF!*((Costos!G130/#REF!)^2)*#REF!*Costos!D130*Costos!$B$4,"error")))</f>
        <v>#REF!</v>
      </c>
      <c r="I130" s="9" t="e">
        <f>#REF!*#REF!*#REF!*1000</f>
        <v>#REF!</v>
      </c>
      <c r="J130" s="72" t="e">
        <f t="shared" si="1"/>
        <v>#REF!</v>
      </c>
      <c r="K130" s="72" t="e">
        <f>IF(#REF!&gt;57.5,#REF!,IF(#REF!&gt;29.99999999,#REF!,IF(#REF!&gt;0.9999999999,#REF!,IF(#REF!&gt;0.000000001,#REF!,"Error"))))</f>
        <v>#REF!</v>
      </c>
      <c r="L130" s="13" t="e">
        <f>IF(K130&gt;J130,(1+E130*0.04)*#REF!*D130,0)</f>
        <v>#REF!</v>
      </c>
      <c r="M130" s="13" t="e">
        <f>IF(K130&gt;J130,G130^2*#REF!*D130*$B$5,0)</f>
        <v>#REF!</v>
      </c>
    </row>
    <row r="131" spans="2:13" x14ac:dyDescent="0.25">
      <c r="B131" s="2">
        <v>6</v>
      </c>
      <c r="C131" s="2" t="e">
        <f>#REF!</f>
        <v>#REF!</v>
      </c>
      <c r="D131" s="12" t="e">
        <f>IF(B131=1,#REF!,IF(B131=2,#REF!,IF(B131=3,#REF!,IF(B131=4,#REF!,IF(B131=5,#REF!,IF(B131=6,#REF!,IF(B131=7,#REF!,IF(B131=8,#REF!, IF(B131=9,#REF!,IF(B131=10,#REF!,IF(B131=11,#REF!,”Error”)))))))))))</f>
        <v>#REF!</v>
      </c>
      <c r="E131" s="12" t="e">
        <f>IF(#REF!="Si",1,IF(#REF!="No",0))</f>
        <v>#REF!</v>
      </c>
      <c r="F131" s="12" t="e">
        <f>IF(#REF!="Trifásico",3,IF(#REF!="Monofásico trifilar",2,IF(#REF!="Monofásico bifilar",1)))</f>
        <v>#REF!</v>
      </c>
      <c r="G131" s="22" t="e">
        <f>IF(#REF!="Trifásico",(#REF!)/(SQRT(3)*#REF!),IF(#REF!="Monofásico trifilar",(#REF!)/(#REF!),IF(#REF!="Monofásico bifilar",(#REF!)/(#REF!))))*(1+#REF!)</f>
        <v>#REF!</v>
      </c>
      <c r="H131" s="9" t="e">
        <f>IF(F131=3,#REF!*3*((Costos!G131/#REF!)^2)*#REF!*Costos!D131*Costos!$B$4,IF(F131=2,#REF!*2*((Costos!G131/#REF!)^2)*#REF!*Costos!D131*Costos!$B$4,IF(F131=1,#REF!*((Costos!G131/#REF!)^2)*#REF!*Costos!D131*Costos!$B$4,"error")))</f>
        <v>#REF!</v>
      </c>
      <c r="I131" s="9" t="e">
        <f>#REF!*#REF!*#REF!*1000</f>
        <v>#REF!</v>
      </c>
      <c r="J131" s="72" t="e">
        <f t="shared" si="1"/>
        <v>#REF!</v>
      </c>
      <c r="K131" s="72" t="e">
        <f>IF(#REF!&gt;57.5,#REF!,IF(#REF!&gt;29.99999999,#REF!,IF(#REF!&gt;0.9999999999,#REF!,IF(#REF!&gt;0.000000001,#REF!,"Error"))))</f>
        <v>#REF!</v>
      </c>
      <c r="L131" s="13" t="e">
        <f>IF(K131&gt;J131,(1+E131*0.04)*#REF!*D131,0)</f>
        <v>#REF!</v>
      </c>
      <c r="M131" s="13" t="e">
        <f>IF(K131&gt;J131,G131^2*#REF!*D131*$B$5,0)</f>
        <v>#REF!</v>
      </c>
    </row>
    <row r="132" spans="2:13" x14ac:dyDescent="0.25">
      <c r="B132" s="2">
        <v>6</v>
      </c>
      <c r="C132" s="2" t="e">
        <f>#REF!</f>
        <v>#REF!</v>
      </c>
      <c r="D132" s="12" t="e">
        <f>IF(B132=1,#REF!,IF(B132=2,#REF!,IF(B132=3,#REF!,IF(B132=4,#REF!,IF(B132=5,#REF!,IF(B132=6,#REF!,IF(B132=7,#REF!,IF(B132=8,#REF!, IF(B132=9,#REF!,IF(B132=10,#REF!,IF(B132=11,#REF!,”Error”)))))))))))</f>
        <v>#REF!</v>
      </c>
      <c r="E132" s="12" t="e">
        <f>IF(#REF!="Si",1,IF(#REF!="No",0))</f>
        <v>#REF!</v>
      </c>
      <c r="F132" s="12" t="e">
        <f>IF(#REF!="Trifásico",3,IF(#REF!="Monofásico trifilar",2,IF(#REF!="Monofásico bifilar",1)))</f>
        <v>#REF!</v>
      </c>
      <c r="G132" s="22" t="e">
        <f>IF(#REF!="Trifásico",(#REF!)/(SQRT(3)*#REF!),IF(#REF!="Monofásico trifilar",(#REF!)/(#REF!),IF(#REF!="Monofásico bifilar",(#REF!)/(#REF!))))*(1+#REF!)</f>
        <v>#REF!</v>
      </c>
      <c r="H132" s="9" t="e">
        <f>IF(F132=3,#REF!*3*((Costos!G132/#REF!)^2)*#REF!*Costos!D132*Costos!$B$4,IF(F132=2,#REF!*2*((Costos!G132/#REF!)^2)*#REF!*Costos!D132*Costos!$B$4,IF(F132=1,#REF!*((Costos!G132/#REF!)^2)*#REF!*Costos!D132*Costos!$B$4,"error")))</f>
        <v>#REF!</v>
      </c>
      <c r="I132" s="9" t="e">
        <f>#REF!*#REF!*#REF!*1000</f>
        <v>#REF!</v>
      </c>
      <c r="J132" s="72" t="e">
        <f t="shared" si="1"/>
        <v>#REF!</v>
      </c>
      <c r="K132" s="72" t="e">
        <f>IF(#REF!&gt;57.5,#REF!,IF(#REF!&gt;29.99999999,#REF!,IF(#REF!&gt;0.9999999999,#REF!,IF(#REF!&gt;0.000000001,#REF!,"Error"))))</f>
        <v>#REF!</v>
      </c>
      <c r="L132" s="13" t="e">
        <f>IF(K132&gt;J132,(1+E132*0.04)*#REF!*D132,0)</f>
        <v>#REF!</v>
      </c>
      <c r="M132" s="13" t="e">
        <f>IF(K132&gt;J132,G132^2*#REF!*D132*$B$5,0)</f>
        <v>#REF!</v>
      </c>
    </row>
    <row r="133" spans="2:13" x14ac:dyDescent="0.25">
      <c r="B133" s="2">
        <v>6</v>
      </c>
      <c r="C133" s="2" t="e">
        <f>#REF!</f>
        <v>#REF!</v>
      </c>
      <c r="D133" s="12" t="e">
        <f>IF(B133=1,#REF!,IF(B133=2,#REF!,IF(B133=3,#REF!,IF(B133=4,#REF!,IF(B133=5,#REF!,IF(B133=6,#REF!,IF(B133=7,#REF!,IF(B133=8,#REF!, IF(B133=9,#REF!,IF(B133=10,#REF!,IF(B133=11,#REF!,”Error”)))))))))))</f>
        <v>#REF!</v>
      </c>
      <c r="E133" s="12" t="e">
        <f>IF(#REF!="Si",1,IF(#REF!="No",0))</f>
        <v>#REF!</v>
      </c>
      <c r="F133" s="12" t="e">
        <f>IF(#REF!="Trifásico",3,IF(#REF!="Monofásico trifilar",2,IF(#REF!="Monofásico bifilar",1)))</f>
        <v>#REF!</v>
      </c>
      <c r="G133" s="22" t="e">
        <f>IF(#REF!="Trifásico",(#REF!)/(SQRT(3)*#REF!),IF(#REF!="Monofásico trifilar",(#REF!)/(#REF!),IF(#REF!="Monofásico bifilar",(#REF!)/(#REF!))))*(1+#REF!)</f>
        <v>#REF!</v>
      </c>
      <c r="H133" s="9" t="e">
        <f>IF(F133=3,#REF!*3*((Costos!G133/#REF!)^2)*#REF!*Costos!D133*Costos!$B$4,IF(F133=2,#REF!*2*((Costos!G133/#REF!)^2)*#REF!*Costos!D133*Costos!$B$4,IF(F133=1,#REF!*((Costos!G133/#REF!)^2)*#REF!*Costos!D133*Costos!$B$4,"error")))</f>
        <v>#REF!</v>
      </c>
      <c r="I133" s="9" t="e">
        <f>#REF!*#REF!*#REF!*1000</f>
        <v>#REF!</v>
      </c>
      <c r="J133" s="72" t="e">
        <f t="shared" si="1"/>
        <v>#REF!</v>
      </c>
      <c r="K133" s="72" t="e">
        <f>IF(#REF!&gt;57.5,#REF!,IF(#REF!&gt;29.99999999,#REF!,IF(#REF!&gt;0.9999999999,#REF!,IF(#REF!&gt;0.000000001,#REF!,"Error"))))</f>
        <v>#REF!</v>
      </c>
      <c r="L133" s="13" t="e">
        <f>IF(K133&gt;J133,(1+E133*0.04)*#REF!*D133,0)</f>
        <v>#REF!</v>
      </c>
      <c r="M133" s="13" t="e">
        <f>IF(K133&gt;J133,G133^2*#REF!*D133*$B$5,0)</f>
        <v>#REF!</v>
      </c>
    </row>
    <row r="134" spans="2:13" x14ac:dyDescent="0.25">
      <c r="B134" s="2">
        <v>6</v>
      </c>
      <c r="C134" s="2" t="e">
        <f>#REF!</f>
        <v>#REF!</v>
      </c>
      <c r="D134" s="12" t="e">
        <f>IF(B134=1,#REF!,IF(B134=2,#REF!,IF(B134=3,#REF!,IF(B134=4,#REF!,IF(B134=5,#REF!,IF(B134=6,#REF!,IF(B134=7,#REF!,IF(B134=8,#REF!, IF(B134=9,#REF!,IF(B134=10,#REF!,IF(B134=11,#REF!,”Error”)))))))))))</f>
        <v>#REF!</v>
      </c>
      <c r="E134" s="12" t="e">
        <f>IF(#REF!="Si",1,IF(#REF!="No",0))</f>
        <v>#REF!</v>
      </c>
      <c r="F134" s="12" t="e">
        <f>IF(#REF!="Trifásico",3,IF(#REF!="Monofásico trifilar",2,IF(#REF!="Monofásico bifilar",1)))</f>
        <v>#REF!</v>
      </c>
      <c r="G134" s="22" t="e">
        <f>IF(#REF!="Trifásico",(#REF!)/(SQRT(3)*#REF!),IF(#REF!="Monofásico trifilar",(#REF!)/(#REF!),IF(#REF!="Monofásico bifilar",(#REF!)/(#REF!))))*(1+#REF!)</f>
        <v>#REF!</v>
      </c>
      <c r="H134" s="9" t="e">
        <f>IF(F134=3,#REF!*3*((Costos!G134/#REF!)^2)*#REF!*Costos!D134*Costos!$B$4,IF(F134=2,#REF!*2*((Costos!G134/#REF!)^2)*#REF!*Costos!D134*Costos!$B$4,IF(F134=1,#REF!*((Costos!G134/#REF!)^2)*#REF!*Costos!D134*Costos!$B$4,"error")))</f>
        <v>#REF!</v>
      </c>
      <c r="I134" s="9" t="e">
        <f>#REF!*#REF!*#REF!*1000</f>
        <v>#REF!</v>
      </c>
      <c r="J134" s="72" t="e">
        <f t="shared" si="1"/>
        <v>#REF!</v>
      </c>
      <c r="K134" s="72" t="e">
        <f>IF(#REF!&gt;57.5,#REF!,IF(#REF!&gt;29.99999999,#REF!,IF(#REF!&gt;0.9999999999,#REF!,IF(#REF!&gt;0.000000001,#REF!,"Error"))))</f>
        <v>#REF!</v>
      </c>
      <c r="L134" s="13" t="e">
        <f>IF(K134&gt;J134,(1+E134*0.04)*#REF!*D134,0)</f>
        <v>#REF!</v>
      </c>
      <c r="M134" s="13" t="e">
        <f>IF(K134&gt;J134,G134^2*#REF!*D134*$B$5,0)</f>
        <v>#REF!</v>
      </c>
    </row>
    <row r="135" spans="2:13" x14ac:dyDescent="0.25">
      <c r="B135" s="2">
        <v>6</v>
      </c>
      <c r="C135" s="2" t="e">
        <f>#REF!</f>
        <v>#REF!</v>
      </c>
      <c r="D135" s="12" t="e">
        <f>IF(B135=1,#REF!,IF(B135=2,#REF!,IF(B135=3,#REF!,IF(B135=4,#REF!,IF(B135=5,#REF!,IF(B135=6,#REF!,IF(B135=7,#REF!,IF(B135=8,#REF!, IF(B135=9,#REF!,IF(B135=10,#REF!,IF(B135=11,#REF!,”Error”)))))))))))</f>
        <v>#REF!</v>
      </c>
      <c r="E135" s="12" t="e">
        <f>IF(#REF!="Si",1,IF(#REF!="No",0))</f>
        <v>#REF!</v>
      </c>
      <c r="F135" s="12" t="e">
        <f>IF(#REF!="Trifásico",3,IF(#REF!="Monofásico trifilar",2,IF(#REF!="Monofásico bifilar",1)))</f>
        <v>#REF!</v>
      </c>
      <c r="G135" s="22" t="e">
        <f>IF(#REF!="Trifásico",(#REF!)/(SQRT(3)*#REF!),IF(#REF!="Monofásico trifilar",(#REF!)/(#REF!),IF(#REF!="Monofásico bifilar",(#REF!)/(#REF!))))*(1+#REF!)</f>
        <v>#REF!</v>
      </c>
      <c r="H135" s="9" t="e">
        <f>IF(F135=3,#REF!*3*((Costos!G135/#REF!)^2)*#REF!*Costos!D135*Costos!$B$4,IF(F135=2,#REF!*2*((Costos!G135/#REF!)^2)*#REF!*Costos!D135*Costos!$B$4,IF(F135=1,#REF!*((Costos!G135/#REF!)^2)*#REF!*Costos!D135*Costos!$B$4,"error")))</f>
        <v>#REF!</v>
      </c>
      <c r="I135" s="9" t="e">
        <f>#REF!*#REF!*#REF!*1000</f>
        <v>#REF!</v>
      </c>
      <c r="J135" s="72" t="e">
        <f t="shared" si="1"/>
        <v>#REF!</v>
      </c>
      <c r="K135" s="72" t="e">
        <f>IF(#REF!&gt;57.5,#REF!,IF(#REF!&gt;29.99999999,#REF!,IF(#REF!&gt;0.9999999999,#REF!,IF(#REF!&gt;0.000000001,#REF!,"Error"))))</f>
        <v>#REF!</v>
      </c>
      <c r="L135" s="13" t="e">
        <f>IF(K135&gt;J135,(1+E135*0.04)*#REF!*D135,0)</f>
        <v>#REF!</v>
      </c>
      <c r="M135" s="13" t="e">
        <f>IF(K135&gt;J135,G135^2*#REF!*D135*$B$5,0)</f>
        <v>#REF!</v>
      </c>
    </row>
    <row r="136" spans="2:13" x14ac:dyDescent="0.25">
      <c r="B136" s="2">
        <v>6</v>
      </c>
      <c r="C136" s="2" t="e">
        <f>#REF!</f>
        <v>#REF!</v>
      </c>
      <c r="D136" s="12" t="e">
        <f>IF(B136=1,#REF!,IF(B136=2,#REF!,IF(B136=3,#REF!,IF(B136=4,#REF!,IF(B136=5,#REF!,IF(B136=6,#REF!,IF(B136=7,#REF!,IF(B136=8,#REF!, IF(B136=9,#REF!,IF(B136=10,#REF!,IF(B136=11,#REF!,”Error”)))))))))))</f>
        <v>#REF!</v>
      </c>
      <c r="E136" s="12" t="e">
        <f>IF(#REF!="Si",1,IF(#REF!="No",0))</f>
        <v>#REF!</v>
      </c>
      <c r="F136" s="12" t="e">
        <f>IF(#REF!="Trifásico",3,IF(#REF!="Monofásico trifilar",2,IF(#REF!="Monofásico bifilar",1)))</f>
        <v>#REF!</v>
      </c>
      <c r="G136" s="22" t="e">
        <f>IF(#REF!="Trifásico",(#REF!)/(SQRT(3)*#REF!),IF(#REF!="Monofásico trifilar",(#REF!)/(#REF!),IF(#REF!="Monofásico bifilar",(#REF!)/(#REF!))))*(1+#REF!)</f>
        <v>#REF!</v>
      </c>
      <c r="H136" s="9" t="e">
        <f>IF(F136=3,#REF!*3*((Costos!G136/#REF!)^2)*#REF!*Costos!D136*Costos!$B$4,IF(F136=2,#REF!*2*((Costos!G136/#REF!)^2)*#REF!*Costos!D136*Costos!$B$4,IF(F136=1,#REF!*((Costos!G136/#REF!)^2)*#REF!*Costos!D136*Costos!$B$4,"error")))</f>
        <v>#REF!</v>
      </c>
      <c r="I136" s="9" t="e">
        <f>#REF!*#REF!*#REF!*1000</f>
        <v>#REF!</v>
      </c>
      <c r="J136" s="72" t="e">
        <f t="shared" si="1"/>
        <v>#REF!</v>
      </c>
      <c r="K136" s="72" t="e">
        <f>IF(#REF!&gt;57.5,#REF!,IF(#REF!&gt;29.99999999,#REF!,IF(#REF!&gt;0.9999999999,#REF!,IF(#REF!&gt;0.000000001,#REF!,"Error"))))</f>
        <v>#REF!</v>
      </c>
      <c r="L136" s="13" t="e">
        <f>IF(K136&gt;J136,(1+E136*0.04)*#REF!*D136,0)</f>
        <v>#REF!</v>
      </c>
      <c r="M136" s="13" t="e">
        <f>IF(K136&gt;J136,G136^2*#REF!*D136*$B$5,0)</f>
        <v>#REF!</v>
      </c>
    </row>
    <row r="137" spans="2:13" x14ac:dyDescent="0.25">
      <c r="B137" s="2">
        <v>6</v>
      </c>
      <c r="C137" s="2" t="e">
        <f>#REF!</f>
        <v>#REF!</v>
      </c>
      <c r="D137" s="12" t="e">
        <f>IF(B137=1,#REF!,IF(B137=2,#REF!,IF(B137=3,#REF!,IF(B137=4,#REF!,IF(B137=5,#REF!,IF(B137=6,#REF!,IF(B137=7,#REF!,IF(B137=8,#REF!, IF(B137=9,#REF!,IF(B137=10,#REF!,IF(B137=11,#REF!,”Error”)))))))))))</f>
        <v>#REF!</v>
      </c>
      <c r="E137" s="12" t="e">
        <f>IF(#REF!="Si",1,IF(#REF!="No",0))</f>
        <v>#REF!</v>
      </c>
      <c r="F137" s="12" t="e">
        <f>IF(#REF!="Trifásico",3,IF(#REF!="Monofásico trifilar",2,IF(#REF!="Monofásico bifilar",1)))</f>
        <v>#REF!</v>
      </c>
      <c r="G137" s="22" t="e">
        <f>IF(#REF!="Trifásico",(#REF!)/(SQRT(3)*#REF!),IF(#REF!="Monofásico trifilar",(#REF!)/(#REF!),IF(#REF!="Monofásico bifilar",(#REF!)/(#REF!))))*(1+#REF!)</f>
        <v>#REF!</v>
      </c>
      <c r="H137" s="9" t="e">
        <f>IF(F137=3,#REF!*3*((Costos!G137/#REF!)^2)*#REF!*Costos!D137*Costos!$B$4,IF(F137=2,#REF!*2*((Costos!G137/#REF!)^2)*#REF!*Costos!D137*Costos!$B$4,IF(F137=1,#REF!*((Costos!G137/#REF!)^2)*#REF!*Costos!D137*Costos!$B$4,"error")))</f>
        <v>#REF!</v>
      </c>
      <c r="I137" s="9" t="e">
        <f>#REF!*#REF!*#REF!*1000</f>
        <v>#REF!</v>
      </c>
      <c r="J137" s="72" t="e">
        <f t="shared" ref="J137:J200" si="2">(H137)/I137</f>
        <v>#REF!</v>
      </c>
      <c r="K137" s="72" t="e">
        <f>IF(#REF!&gt;57.5,#REF!,IF(#REF!&gt;29.99999999,#REF!,IF(#REF!&gt;0.9999999999,#REF!,IF(#REF!&gt;0.000000001,#REF!,"Error"))))</f>
        <v>#REF!</v>
      </c>
      <c r="L137" s="13" t="e">
        <f>IF(K137&gt;J137,(1+E137*0.04)*#REF!*D137,0)</f>
        <v>#REF!</v>
      </c>
      <c r="M137" s="13" t="e">
        <f>IF(K137&gt;J137,G137^2*#REF!*D137*$B$5,0)</f>
        <v>#REF!</v>
      </c>
    </row>
    <row r="138" spans="2:13" x14ac:dyDescent="0.25">
      <c r="B138" s="2">
        <v>6</v>
      </c>
      <c r="C138" s="2" t="e">
        <f>#REF!</f>
        <v>#REF!</v>
      </c>
      <c r="D138" s="12" t="e">
        <f>IF(B138=1,#REF!,IF(B138=2,#REF!,IF(B138=3,#REF!,IF(B138=4,#REF!,IF(B138=5,#REF!,IF(B138=6,#REF!,IF(B138=7,#REF!,IF(B138=8,#REF!, IF(B138=9,#REF!,IF(B138=10,#REF!,IF(B138=11,#REF!,”Error”)))))))))))</f>
        <v>#REF!</v>
      </c>
      <c r="E138" s="12" t="e">
        <f>IF(#REF!="Si",1,IF(#REF!="No",0))</f>
        <v>#REF!</v>
      </c>
      <c r="F138" s="12" t="e">
        <f>IF(#REF!="Trifásico",3,IF(#REF!="Monofásico trifilar",2,IF(#REF!="Monofásico bifilar",1)))</f>
        <v>#REF!</v>
      </c>
      <c r="G138" s="22" t="e">
        <f>IF(#REF!="Trifásico",(#REF!)/(SQRT(3)*#REF!),IF(#REF!="Monofásico trifilar",(#REF!)/(#REF!),IF(#REF!="Monofásico bifilar",(#REF!)/(#REF!))))*(1+#REF!)</f>
        <v>#REF!</v>
      </c>
      <c r="H138" s="9" t="e">
        <f>IF(F138=3,#REF!*3*((Costos!G138/#REF!)^2)*#REF!*Costos!D138*Costos!$B$4,IF(F138=2,#REF!*2*((Costos!G138/#REF!)^2)*#REF!*Costos!D138*Costos!$B$4,IF(F138=1,#REF!*((Costos!G138/#REF!)^2)*#REF!*Costos!D138*Costos!$B$4,"error")))</f>
        <v>#REF!</v>
      </c>
      <c r="I138" s="9" t="e">
        <f>#REF!*#REF!*#REF!*1000</f>
        <v>#REF!</v>
      </c>
      <c r="J138" s="72" t="e">
        <f t="shared" si="2"/>
        <v>#REF!</v>
      </c>
      <c r="K138" s="72" t="e">
        <f>IF(#REF!&gt;57.5,#REF!,IF(#REF!&gt;29.99999999,#REF!,IF(#REF!&gt;0.9999999999,#REF!,IF(#REF!&gt;0.000000001,#REF!,"Error"))))</f>
        <v>#REF!</v>
      </c>
      <c r="L138" s="13" t="e">
        <f>IF(K138&gt;J138,(1+E138*0.04)*#REF!*D138,0)</f>
        <v>#REF!</v>
      </c>
      <c r="M138" s="13" t="e">
        <f>IF(K138&gt;J138,G138^2*#REF!*D138*$B$5,0)</f>
        <v>#REF!</v>
      </c>
    </row>
    <row r="139" spans="2:13" x14ac:dyDescent="0.25">
      <c r="B139" s="2">
        <v>6</v>
      </c>
      <c r="C139" s="2" t="e">
        <f>#REF!</f>
        <v>#REF!</v>
      </c>
      <c r="D139" s="12" t="e">
        <f>IF(B139=1,#REF!,IF(B139=2,#REF!,IF(B139=3,#REF!,IF(B139=4,#REF!,IF(B139=5,#REF!,IF(B139=6,#REF!,IF(B139=7,#REF!,IF(B139=8,#REF!, IF(B139=9,#REF!,IF(B139=10,#REF!,IF(B139=11,#REF!,”Error”)))))))))))</f>
        <v>#REF!</v>
      </c>
      <c r="E139" s="12" t="e">
        <f>IF(#REF!="Si",1,IF(#REF!="No",0))</f>
        <v>#REF!</v>
      </c>
      <c r="F139" s="12" t="e">
        <f>IF(#REF!="Trifásico",3,IF(#REF!="Monofásico trifilar",2,IF(#REF!="Monofásico bifilar",1)))</f>
        <v>#REF!</v>
      </c>
      <c r="G139" s="22" t="e">
        <f>IF(#REF!="Trifásico",(#REF!)/(SQRT(3)*#REF!),IF(#REF!="Monofásico trifilar",(#REF!)/(#REF!),IF(#REF!="Monofásico bifilar",(#REF!)/(#REF!))))*(1+#REF!)</f>
        <v>#REF!</v>
      </c>
      <c r="H139" s="9" t="e">
        <f>IF(F139=3,#REF!*3*((Costos!G139/#REF!)^2)*#REF!*Costos!D139*Costos!$B$4,IF(F139=2,#REF!*2*((Costos!G139/#REF!)^2)*#REF!*Costos!D139*Costos!$B$4,IF(F139=1,#REF!*((Costos!G139/#REF!)^2)*#REF!*Costos!D139*Costos!$B$4,"error")))</f>
        <v>#REF!</v>
      </c>
      <c r="I139" s="9" t="e">
        <f>#REF!*#REF!*#REF!*1000</f>
        <v>#REF!</v>
      </c>
      <c r="J139" s="72" t="e">
        <f t="shared" si="2"/>
        <v>#REF!</v>
      </c>
      <c r="K139" s="72" t="e">
        <f>IF(#REF!&gt;57.5,#REF!,IF(#REF!&gt;29.99999999,#REF!,IF(#REF!&gt;0.9999999999,#REF!,IF(#REF!&gt;0.000000001,#REF!,"Error"))))</f>
        <v>#REF!</v>
      </c>
      <c r="L139" s="13" t="e">
        <f>IF(K139&gt;J139,(1+E139*0.04)*#REF!*D139,0)</f>
        <v>#REF!</v>
      </c>
      <c r="M139" s="13" t="e">
        <f>IF(K139&gt;J139,G139^2*#REF!*D139*$B$5,0)</f>
        <v>#REF!</v>
      </c>
    </row>
    <row r="140" spans="2:13" x14ac:dyDescent="0.25">
      <c r="B140" s="2">
        <v>6</v>
      </c>
      <c r="C140" s="2" t="e">
        <f>#REF!</f>
        <v>#REF!</v>
      </c>
      <c r="D140" s="12" t="e">
        <f>IF(B140=1,#REF!,IF(B140=2,#REF!,IF(B140=3,#REF!,IF(B140=4,#REF!,IF(B140=5,#REF!,IF(B140=6,#REF!,IF(B140=7,#REF!,IF(B140=8,#REF!, IF(B140=9,#REF!,IF(B140=10,#REF!,IF(B140=11,#REF!,”Error”)))))))))))</f>
        <v>#REF!</v>
      </c>
      <c r="E140" s="12" t="e">
        <f>IF(#REF!="Si",1,IF(#REF!="No",0))</f>
        <v>#REF!</v>
      </c>
      <c r="F140" s="12" t="e">
        <f>IF(#REF!="Trifásico",3,IF(#REF!="Monofásico trifilar",2,IF(#REF!="Monofásico bifilar",1)))</f>
        <v>#REF!</v>
      </c>
      <c r="G140" s="22" t="e">
        <f>IF(#REF!="Trifásico",(#REF!)/(SQRT(3)*#REF!),IF(#REF!="Monofásico trifilar",(#REF!)/(#REF!),IF(#REF!="Monofásico bifilar",(#REF!)/(#REF!))))*(1+#REF!)</f>
        <v>#REF!</v>
      </c>
      <c r="H140" s="9" t="e">
        <f>IF(F140=3,#REF!*3*((Costos!G140/#REF!)^2)*#REF!*Costos!D140*Costos!$B$4,IF(F140=2,#REF!*2*((Costos!G140/#REF!)^2)*#REF!*Costos!D140*Costos!$B$4,IF(F140=1,#REF!*((Costos!G140/#REF!)^2)*#REF!*Costos!D140*Costos!$B$4,"error")))</f>
        <v>#REF!</v>
      </c>
      <c r="I140" s="9" t="e">
        <f>#REF!*#REF!*#REF!*1000</f>
        <v>#REF!</v>
      </c>
      <c r="J140" s="72" t="e">
        <f t="shared" si="2"/>
        <v>#REF!</v>
      </c>
      <c r="K140" s="72" t="e">
        <f>IF(#REF!&gt;57.5,#REF!,IF(#REF!&gt;29.99999999,#REF!,IF(#REF!&gt;0.9999999999,#REF!,IF(#REF!&gt;0.000000001,#REF!,"Error"))))</f>
        <v>#REF!</v>
      </c>
      <c r="L140" s="13" t="e">
        <f>IF(K140&gt;J140,(1+E140*0.04)*#REF!*D140,0)</f>
        <v>#REF!</v>
      </c>
      <c r="M140" s="13" t="e">
        <f>IF(K140&gt;J140,G140^2*#REF!*D140*$B$5,0)</f>
        <v>#REF!</v>
      </c>
    </row>
    <row r="141" spans="2:13" x14ac:dyDescent="0.25">
      <c r="B141" s="2">
        <v>6</v>
      </c>
      <c r="C141" s="2" t="e">
        <f>#REF!</f>
        <v>#REF!</v>
      </c>
      <c r="D141" s="12" t="e">
        <f>IF(B141=1,#REF!,IF(B141=2,#REF!,IF(B141=3,#REF!,IF(B141=4,#REF!,IF(B141=5,#REF!,IF(B141=6,#REF!,IF(B141=7,#REF!,IF(B141=8,#REF!, IF(B141=9,#REF!,IF(B141=10,#REF!,IF(B141=11,#REF!,”Error”)))))))))))</f>
        <v>#REF!</v>
      </c>
      <c r="E141" s="12" t="e">
        <f>IF(#REF!="Si",1,IF(#REF!="No",0))</f>
        <v>#REF!</v>
      </c>
      <c r="F141" s="12" t="e">
        <f>IF(#REF!="Trifásico",3,IF(#REF!="Monofásico trifilar",2,IF(#REF!="Monofásico bifilar",1)))</f>
        <v>#REF!</v>
      </c>
      <c r="G141" s="22" t="e">
        <f>IF(#REF!="Trifásico",(#REF!)/(SQRT(3)*#REF!),IF(#REF!="Monofásico trifilar",(#REF!)/(#REF!),IF(#REF!="Monofásico bifilar",(#REF!)/(#REF!))))*(1+#REF!)</f>
        <v>#REF!</v>
      </c>
      <c r="H141" s="9" t="e">
        <f>IF(F141=3,#REF!*3*((Costos!G141/#REF!)^2)*#REF!*Costos!D141*Costos!$B$4,IF(F141=2,#REF!*2*((Costos!G141/#REF!)^2)*#REF!*Costos!D141*Costos!$B$4,IF(F141=1,#REF!*((Costos!G141/#REF!)^2)*#REF!*Costos!D141*Costos!$B$4,"error")))</f>
        <v>#REF!</v>
      </c>
      <c r="I141" s="9" t="e">
        <f>#REF!*#REF!*#REF!*1000</f>
        <v>#REF!</v>
      </c>
      <c r="J141" s="72" t="e">
        <f t="shared" si="2"/>
        <v>#REF!</v>
      </c>
      <c r="K141" s="72" t="e">
        <f>IF(#REF!&gt;57.5,#REF!,IF(#REF!&gt;29.99999999,#REF!,IF(#REF!&gt;0.9999999999,#REF!,IF(#REF!&gt;0.000000001,#REF!,"Error"))))</f>
        <v>#REF!</v>
      </c>
      <c r="L141" s="13" t="e">
        <f>IF(K141&gt;J141,(1+E141*0.04)*#REF!*D141,0)</f>
        <v>#REF!</v>
      </c>
      <c r="M141" s="13" t="e">
        <f>IF(K141&gt;J141,G141^2*#REF!*D141*$B$5,0)</f>
        <v>#REF!</v>
      </c>
    </row>
    <row r="142" spans="2:13" x14ac:dyDescent="0.25">
      <c r="B142" s="2">
        <v>6</v>
      </c>
      <c r="C142" s="2" t="e">
        <f>#REF!</f>
        <v>#REF!</v>
      </c>
      <c r="D142" s="12" t="e">
        <f>IF(B142=1,#REF!,IF(B142=2,#REF!,IF(B142=3,#REF!,IF(B142=4,#REF!,IF(B142=5,#REF!,IF(B142=6,#REF!,IF(B142=7,#REF!,IF(B142=8,#REF!, IF(B142=9,#REF!,IF(B142=10,#REF!,IF(B142=11,#REF!,”Error”)))))))))))</f>
        <v>#REF!</v>
      </c>
      <c r="E142" s="12" t="e">
        <f>IF(#REF!="Si",1,IF(#REF!="No",0))</f>
        <v>#REF!</v>
      </c>
      <c r="F142" s="12" t="e">
        <f>IF(#REF!="Trifásico",3,IF(#REF!="Monofásico trifilar",2,IF(#REF!="Monofásico bifilar",1)))</f>
        <v>#REF!</v>
      </c>
      <c r="G142" s="22" t="e">
        <f>IF(#REF!="Trifásico",(#REF!)/(SQRT(3)*#REF!),IF(#REF!="Monofásico trifilar",(#REF!)/(#REF!),IF(#REF!="Monofásico bifilar",(#REF!)/(#REF!))))*(1+#REF!)</f>
        <v>#REF!</v>
      </c>
      <c r="H142" s="9" t="e">
        <f>IF(F142=3,#REF!*3*((Costos!G142/#REF!)^2)*#REF!*Costos!D142*Costos!$B$4,IF(F142=2,#REF!*2*((Costos!G142/#REF!)^2)*#REF!*Costos!D142*Costos!$B$4,IF(F142=1,#REF!*((Costos!G142/#REF!)^2)*#REF!*Costos!D142*Costos!$B$4,"error")))</f>
        <v>#REF!</v>
      </c>
      <c r="I142" s="9" t="e">
        <f>#REF!*#REF!*#REF!*1000</f>
        <v>#REF!</v>
      </c>
      <c r="J142" s="72" t="e">
        <f t="shared" si="2"/>
        <v>#REF!</v>
      </c>
      <c r="K142" s="72" t="e">
        <f>IF(#REF!&gt;57.5,#REF!,IF(#REF!&gt;29.99999999,#REF!,IF(#REF!&gt;0.9999999999,#REF!,IF(#REF!&gt;0.000000001,#REF!,"Error"))))</f>
        <v>#REF!</v>
      </c>
      <c r="L142" s="13" t="e">
        <f>IF(K142&gt;J142,(1+E142*0.04)*#REF!*D142,0)</f>
        <v>#REF!</v>
      </c>
      <c r="M142" s="13" t="e">
        <f>IF(K142&gt;J142,G142^2*#REF!*D142*$B$5,0)</f>
        <v>#REF!</v>
      </c>
    </row>
    <row r="143" spans="2:13" x14ac:dyDescent="0.25">
      <c r="B143" s="2">
        <v>6</v>
      </c>
      <c r="C143" s="2" t="e">
        <f>#REF!</f>
        <v>#REF!</v>
      </c>
      <c r="D143" s="12" t="e">
        <f>IF(B143=1,#REF!,IF(B143=2,#REF!,IF(B143=3,#REF!,IF(B143=4,#REF!,IF(B143=5,#REF!,IF(B143=6,#REF!,IF(B143=7,#REF!,IF(B143=8,#REF!, IF(B143=9,#REF!,IF(B143=10,#REF!,IF(B143=11,#REF!,”Error”)))))))))))</f>
        <v>#REF!</v>
      </c>
      <c r="E143" s="12" t="e">
        <f>IF(#REF!="Si",1,IF(#REF!="No",0))</f>
        <v>#REF!</v>
      </c>
      <c r="F143" s="12" t="e">
        <f>IF(#REF!="Trifásico",3,IF(#REF!="Monofásico trifilar",2,IF(#REF!="Monofásico bifilar",1)))</f>
        <v>#REF!</v>
      </c>
      <c r="G143" s="22" t="e">
        <f>IF(#REF!="Trifásico",(#REF!)/(SQRT(3)*#REF!),IF(#REF!="Monofásico trifilar",(#REF!)/(#REF!),IF(#REF!="Monofásico bifilar",(#REF!)/(#REF!))))*(1+#REF!)</f>
        <v>#REF!</v>
      </c>
      <c r="H143" s="9" t="e">
        <f>IF(F143=3,#REF!*3*((Costos!G143/#REF!)^2)*#REF!*Costos!D143*Costos!$B$4,IF(F143=2,#REF!*2*((Costos!G143/#REF!)^2)*#REF!*Costos!D143*Costos!$B$4,IF(F143=1,#REF!*((Costos!G143/#REF!)^2)*#REF!*Costos!D143*Costos!$B$4,"error")))</f>
        <v>#REF!</v>
      </c>
      <c r="I143" s="9" t="e">
        <f>#REF!*#REF!*#REF!*1000</f>
        <v>#REF!</v>
      </c>
      <c r="J143" s="72" t="e">
        <f t="shared" si="2"/>
        <v>#REF!</v>
      </c>
      <c r="K143" s="72" t="e">
        <f>IF(#REF!&gt;57.5,#REF!,IF(#REF!&gt;29.99999999,#REF!,IF(#REF!&gt;0.9999999999,#REF!,IF(#REF!&gt;0.000000001,#REF!,"Error"))))</f>
        <v>#REF!</v>
      </c>
      <c r="L143" s="13" t="e">
        <f>IF(K143&gt;J143,(1+E143*0.04)*#REF!*D143,0)</f>
        <v>#REF!</v>
      </c>
      <c r="M143" s="13" t="e">
        <f>IF(K143&gt;J143,G143^2*#REF!*D143*$B$5,0)</f>
        <v>#REF!</v>
      </c>
    </row>
    <row r="144" spans="2:13" x14ac:dyDescent="0.25">
      <c r="B144" s="2">
        <v>6</v>
      </c>
      <c r="C144" s="2" t="e">
        <f>#REF!</f>
        <v>#REF!</v>
      </c>
      <c r="D144" s="12" t="e">
        <f>IF(B144=1,#REF!,IF(B144=2,#REF!,IF(B144=3,#REF!,IF(B144=4,#REF!,IF(B144=5,#REF!,IF(B144=6,#REF!,IF(B144=7,#REF!,IF(B144=8,#REF!, IF(B144=9,#REF!,IF(B144=10,#REF!,IF(B144=11,#REF!,”Error”)))))))))))</f>
        <v>#REF!</v>
      </c>
      <c r="E144" s="12" t="e">
        <f>IF(#REF!="Si",1,IF(#REF!="No",0))</f>
        <v>#REF!</v>
      </c>
      <c r="F144" s="12" t="e">
        <f>IF(#REF!="Trifásico",3,IF(#REF!="Monofásico trifilar",2,IF(#REF!="Monofásico bifilar",1)))</f>
        <v>#REF!</v>
      </c>
      <c r="G144" s="22" t="e">
        <f>IF(#REF!="Trifásico",(#REF!)/(SQRT(3)*#REF!),IF(#REF!="Monofásico trifilar",(#REF!)/(#REF!),IF(#REF!="Monofásico bifilar",(#REF!)/(#REF!))))*(1+#REF!)</f>
        <v>#REF!</v>
      </c>
      <c r="H144" s="9" t="e">
        <f>IF(F144=3,#REF!*3*((Costos!G144/#REF!)^2)*#REF!*Costos!D144*Costos!$B$4,IF(F144=2,#REF!*2*((Costos!G144/#REF!)^2)*#REF!*Costos!D144*Costos!$B$4,IF(F144=1,#REF!*((Costos!G144/#REF!)^2)*#REF!*Costos!D144*Costos!$B$4,"error")))</f>
        <v>#REF!</v>
      </c>
      <c r="I144" s="9" t="e">
        <f>#REF!*#REF!*#REF!*1000</f>
        <v>#REF!</v>
      </c>
      <c r="J144" s="72" t="e">
        <f t="shared" si="2"/>
        <v>#REF!</v>
      </c>
      <c r="K144" s="72" t="e">
        <f>IF(#REF!&gt;57.5,#REF!,IF(#REF!&gt;29.99999999,#REF!,IF(#REF!&gt;0.9999999999,#REF!,IF(#REF!&gt;0.000000001,#REF!,"Error"))))</f>
        <v>#REF!</v>
      </c>
      <c r="L144" s="13" t="e">
        <f>IF(K144&gt;J144,(1+E144*0.04)*#REF!*D144,0)</f>
        <v>#REF!</v>
      </c>
      <c r="M144" s="13" t="e">
        <f>IF(K144&gt;J144,G144^2*#REF!*D144*$B$5,0)</f>
        <v>#REF!</v>
      </c>
    </row>
    <row r="145" spans="2:13" x14ac:dyDescent="0.25">
      <c r="B145" s="2">
        <v>6</v>
      </c>
      <c r="C145" s="2" t="e">
        <f>#REF!</f>
        <v>#REF!</v>
      </c>
      <c r="D145" s="12" t="e">
        <f>IF(B145=1,#REF!,IF(B145=2,#REF!,IF(B145=3,#REF!,IF(B145=4,#REF!,IF(B145=5,#REF!,IF(B145=6,#REF!,IF(B145=7,#REF!,IF(B145=8,#REF!, IF(B145=9,#REF!,IF(B145=10,#REF!,IF(B145=11,#REF!,”Error”)))))))))))</f>
        <v>#REF!</v>
      </c>
      <c r="E145" s="12" t="e">
        <f>IF(#REF!="Si",1,IF(#REF!="No",0))</f>
        <v>#REF!</v>
      </c>
      <c r="F145" s="12" t="e">
        <f>IF(#REF!="Trifásico",3,IF(#REF!="Monofásico trifilar",2,IF(#REF!="Monofásico bifilar",1)))</f>
        <v>#REF!</v>
      </c>
      <c r="G145" s="22" t="e">
        <f>IF(#REF!="Trifásico",(#REF!)/(SQRT(3)*#REF!),IF(#REF!="Monofásico trifilar",(#REF!)/(#REF!),IF(#REF!="Monofásico bifilar",(#REF!)/(#REF!))))*(1+#REF!)</f>
        <v>#REF!</v>
      </c>
      <c r="H145" s="9" t="e">
        <f>IF(F145=3,#REF!*3*((Costos!G145/#REF!)^2)*#REF!*Costos!D145*Costos!$B$4,IF(F145=2,#REF!*2*((Costos!G145/#REF!)^2)*#REF!*Costos!D145*Costos!$B$4,IF(F145=1,#REF!*((Costos!G145/#REF!)^2)*#REF!*Costos!D145*Costos!$B$4,"error")))</f>
        <v>#REF!</v>
      </c>
      <c r="I145" s="9" t="e">
        <f>#REF!*#REF!*#REF!*1000</f>
        <v>#REF!</v>
      </c>
      <c r="J145" s="72" t="e">
        <f t="shared" si="2"/>
        <v>#REF!</v>
      </c>
      <c r="K145" s="72" t="e">
        <f>IF(#REF!&gt;57.5,#REF!,IF(#REF!&gt;29.99999999,#REF!,IF(#REF!&gt;0.9999999999,#REF!,IF(#REF!&gt;0.000000001,#REF!,"Error"))))</f>
        <v>#REF!</v>
      </c>
      <c r="L145" s="13" t="e">
        <f>IF(K145&gt;J145,(1+E145*0.04)*#REF!*D145,0)</f>
        <v>#REF!</v>
      </c>
      <c r="M145" s="13" t="e">
        <f>IF(K145&gt;J145,G145^2*#REF!*D145*$B$5,0)</f>
        <v>#REF!</v>
      </c>
    </row>
    <row r="146" spans="2:13" x14ac:dyDescent="0.25">
      <c r="B146" s="2">
        <v>7</v>
      </c>
      <c r="C146" s="2" t="e">
        <f>#REF!</f>
        <v>#REF!</v>
      </c>
      <c r="D146" s="12" t="e">
        <f>IF(B146=1,#REF!,IF(B146=2,#REF!,IF(B146=3,#REF!,IF(B146=4,#REF!,IF(B146=5,#REF!,IF(B146=6,#REF!,IF(B146=7,#REF!,IF(B146=8,#REF!, IF(B146=9,#REF!,IF(B146=10,#REF!,IF(B146=11,#REF!,”Error”)))))))))))</f>
        <v>#REF!</v>
      </c>
      <c r="E146" s="12" t="e">
        <f>IF(#REF!="Si",1,IF(#REF!="No",0))</f>
        <v>#REF!</v>
      </c>
      <c r="F146" s="12" t="e">
        <f>IF(#REF!="Trifásico",3,IF(#REF!="Monofásico trifilar",2,IF(#REF!="Monofásico bifilar",1)))</f>
        <v>#REF!</v>
      </c>
      <c r="G146" s="22" t="e">
        <f>IF(#REF!="Trifásico",(#REF!)/(SQRT(3)*#REF!),IF(#REF!="Monofáico trifilar",(#REF!)/(#REF!),IF(#REF!="Monofásico bifilar",(#REF!)/(#REF!))))*(1+#REF!)</f>
        <v>#REF!</v>
      </c>
      <c r="H146" s="9" t="e">
        <f>IF(F146=3,#REF!*3*((Costos!G146/#REF!)^2)*#REF!*Costos!D146*Costos!$B$4,IF(F146=2,#REF!*2*((Costos!G146/#REF!)^2)*#REF!*Costos!D146*Costos!$B$4,IF(F146=1,#REF!*((Costos!G146/#REF!)^2)*#REF!*Costos!D146*Costos!$B$4,"error")))</f>
        <v>#REF!</v>
      </c>
      <c r="I146" s="9" t="e">
        <f>#REF!*#REF!*#REF!*1000</f>
        <v>#REF!</v>
      </c>
      <c r="J146" s="72" t="e">
        <f t="shared" si="2"/>
        <v>#REF!</v>
      </c>
      <c r="K146" s="72" t="e">
        <f>IF(#REF!&gt;57.5,#REF!,IF(#REF!&gt;29.99999999,#REF!,IF(#REF!&gt;0.9999999999,#REF!,IF(#REF!&gt;0.000000001,#REF!,"Error"))))</f>
        <v>#REF!</v>
      </c>
      <c r="L146" s="13" t="e">
        <f>IF(K146&gt;J146,(1+E146*0.04)*#REF!*D146,0)</f>
        <v>#REF!</v>
      </c>
      <c r="M146" s="13" t="e">
        <f>IF(K146&gt;J146,G146^2*#REF!*D146*$B$5,0)</f>
        <v>#REF!</v>
      </c>
    </row>
    <row r="147" spans="2:13" x14ac:dyDescent="0.25">
      <c r="B147" s="2">
        <v>7</v>
      </c>
      <c r="C147" s="2" t="e">
        <f>#REF!</f>
        <v>#REF!</v>
      </c>
      <c r="D147" s="12" t="e">
        <f>IF(B147=1,#REF!,IF(B147=2,#REF!,IF(B147=3,#REF!,IF(B147=4,#REF!,IF(B147=5,#REF!,IF(B147=6,#REF!,IF(B147=7,#REF!,IF(B147=8,#REF!, IF(B147=9,#REF!,IF(B147=10,#REF!,IF(B147=11,#REF!,”Error”)))))))))))</f>
        <v>#REF!</v>
      </c>
      <c r="E147" s="12" t="e">
        <f>IF(#REF!="Si",1,IF(#REF!="No",0))</f>
        <v>#REF!</v>
      </c>
      <c r="F147" s="12" t="e">
        <f>IF(#REF!="Trifásico",3,IF(#REF!="Monofásico trifilar",2,IF(#REF!="Monofásico bifilar",1)))</f>
        <v>#REF!</v>
      </c>
      <c r="G147" s="22" t="e">
        <f>IF(#REF!="Trifásico",(#REF!)/(SQRT(3)*#REF!),IF(#REF!="Monofáico trifilar",(#REF!)/(#REF!),IF(#REF!="Monofásico bifilar",(#REF!)/(#REF!))))*(1+#REF!)</f>
        <v>#REF!</v>
      </c>
      <c r="H147" s="9" t="e">
        <f>IF(F147=3,#REF!*3*((Costos!G147/#REF!)^2)*#REF!*Costos!D147*Costos!$B$4,IF(F147=2,#REF!*2*((Costos!G147/#REF!)^2)*#REF!*Costos!D147*Costos!$B$4,IF(F147=1,#REF!*((Costos!G147/#REF!)^2)*#REF!*Costos!D147*Costos!$B$4,"error")))</f>
        <v>#REF!</v>
      </c>
      <c r="I147" s="9" t="e">
        <f>#REF!*#REF!*#REF!*1000</f>
        <v>#REF!</v>
      </c>
      <c r="J147" s="72" t="e">
        <f t="shared" si="2"/>
        <v>#REF!</v>
      </c>
      <c r="K147" s="72" t="e">
        <f>IF(#REF!&gt;57.5,#REF!,IF(#REF!&gt;29.99999999,#REF!,IF(#REF!&gt;0.9999999999,#REF!,IF(#REF!&gt;0.000000001,#REF!,"Error"))))</f>
        <v>#REF!</v>
      </c>
      <c r="L147" s="13" t="e">
        <f>IF(K147&gt;J147,(1+E147*0.04)*#REF!*D147,0)</f>
        <v>#REF!</v>
      </c>
      <c r="M147" s="13" t="e">
        <f>IF(K147&gt;J147,G147^2*#REF!*D147*$B$5,0)</f>
        <v>#REF!</v>
      </c>
    </row>
    <row r="148" spans="2:13" x14ac:dyDescent="0.25">
      <c r="B148" s="2">
        <v>7</v>
      </c>
      <c r="C148" s="2" t="e">
        <f>#REF!</f>
        <v>#REF!</v>
      </c>
      <c r="D148" s="12" t="e">
        <f>IF(B148=1,#REF!,IF(B148=2,#REF!,IF(B148=3,#REF!,IF(B148=4,#REF!,IF(B148=5,#REF!,IF(B148=6,#REF!,IF(B148=7,#REF!,IF(B148=8,#REF!, IF(B148=9,#REF!,IF(B148=10,#REF!,IF(B148=11,#REF!,”Error”)))))))))))</f>
        <v>#REF!</v>
      </c>
      <c r="E148" s="12" t="e">
        <f>IF(#REF!="Si",1,IF(#REF!="No",0))</f>
        <v>#REF!</v>
      </c>
      <c r="F148" s="12" t="e">
        <f>IF(#REF!="Trifásico",3,IF(#REF!="Monofásico trifilar",2,IF(#REF!="Monofásico bifilar",1)))</f>
        <v>#REF!</v>
      </c>
      <c r="G148" s="22" t="e">
        <f>IF(#REF!="Trifásico",(#REF!)/(SQRT(3)*#REF!),IF(#REF!="Monofáico trifilar",(#REF!)/(#REF!),IF(#REF!="Monofásico bifilar",(#REF!)/(#REF!))))*(1+#REF!)</f>
        <v>#REF!</v>
      </c>
      <c r="H148" s="9" t="e">
        <f>IF(F148=3,#REF!*3*((Costos!G148/#REF!)^2)*#REF!*Costos!D148*Costos!$B$4,IF(F148=2,#REF!*2*((Costos!G148/#REF!)^2)*#REF!*Costos!D148*Costos!$B$4,IF(F148=1,#REF!*((Costos!G148/#REF!)^2)*#REF!*Costos!D148*Costos!$B$4,"error")))</f>
        <v>#REF!</v>
      </c>
      <c r="I148" s="9" t="e">
        <f>#REF!*#REF!*#REF!*1000</f>
        <v>#REF!</v>
      </c>
      <c r="J148" s="72" t="e">
        <f t="shared" si="2"/>
        <v>#REF!</v>
      </c>
      <c r="K148" s="72" t="e">
        <f>IF(#REF!&gt;57.5,#REF!,IF(#REF!&gt;29.99999999,#REF!,IF(#REF!&gt;0.9999999999,#REF!,IF(#REF!&gt;0.000000001,#REF!,"Error"))))</f>
        <v>#REF!</v>
      </c>
      <c r="L148" s="13" t="e">
        <f>IF(K148&gt;J148,(1+E148*0.04)*#REF!*D148,0)</f>
        <v>#REF!</v>
      </c>
      <c r="M148" s="13" t="e">
        <f>IF(K148&gt;J148,G148^2*#REF!*D148*$B$5,0)</f>
        <v>#REF!</v>
      </c>
    </row>
    <row r="149" spans="2:13" x14ac:dyDescent="0.25">
      <c r="B149" s="2">
        <v>7</v>
      </c>
      <c r="C149" s="2" t="e">
        <f>#REF!</f>
        <v>#REF!</v>
      </c>
      <c r="D149" s="12" t="e">
        <f>IF(B149=1,#REF!,IF(B149=2,#REF!,IF(B149=3,#REF!,IF(B149=4,#REF!,IF(B149=5,#REF!,IF(B149=6,#REF!,IF(B149=7,#REF!,IF(B149=8,#REF!, IF(B149=9,#REF!,IF(B149=10,#REF!,IF(B149=11,#REF!,”Error”)))))))))))</f>
        <v>#REF!</v>
      </c>
      <c r="E149" s="12" t="e">
        <f>IF(#REF!="Si",1,IF(#REF!="No",0))</f>
        <v>#REF!</v>
      </c>
      <c r="F149" s="12" t="e">
        <f>IF(#REF!="Trifásico",3,IF(#REF!="Monofásico trifilar",2,IF(#REF!="Monofásico bifilar",1)))</f>
        <v>#REF!</v>
      </c>
      <c r="G149" s="22" t="e">
        <f>IF(#REF!="Trifásico",(#REF!)/(SQRT(3)*#REF!),IF(#REF!="Monofáico trifilar",(#REF!)/(#REF!),IF(#REF!="Monofásico bifilar",(#REF!)/(#REF!))))*(1+#REF!)</f>
        <v>#REF!</v>
      </c>
      <c r="H149" s="9" t="e">
        <f>IF(F149=3,#REF!*3*((Costos!G149/#REF!)^2)*#REF!*Costos!D149*Costos!$B$4,IF(F149=2,#REF!*2*((Costos!G149/#REF!)^2)*#REF!*Costos!D149*Costos!$B$4,IF(F149=1,#REF!*((Costos!G149/#REF!)^2)*#REF!*Costos!D149*Costos!$B$4,"error")))</f>
        <v>#REF!</v>
      </c>
      <c r="I149" s="9" t="e">
        <f>#REF!*#REF!*#REF!*1000</f>
        <v>#REF!</v>
      </c>
      <c r="J149" s="72" t="e">
        <f t="shared" si="2"/>
        <v>#REF!</v>
      </c>
      <c r="K149" s="72" t="e">
        <f>IF(#REF!&gt;57.5,#REF!,IF(#REF!&gt;29.99999999,#REF!,IF(#REF!&gt;0.9999999999,#REF!,IF(#REF!&gt;0.000000001,#REF!,"Error"))))</f>
        <v>#REF!</v>
      </c>
      <c r="L149" s="13" t="e">
        <f>IF(K149&gt;J149,(1+E149*0.04)*#REF!*D149,0)</f>
        <v>#REF!</v>
      </c>
      <c r="M149" s="13" t="e">
        <f>IF(K149&gt;J149,G149^2*#REF!*D149*$B$5,0)</f>
        <v>#REF!</v>
      </c>
    </row>
    <row r="150" spans="2:13" x14ac:dyDescent="0.25">
      <c r="B150" s="2">
        <v>7</v>
      </c>
      <c r="C150" s="2" t="e">
        <f>#REF!</f>
        <v>#REF!</v>
      </c>
      <c r="D150" s="12" t="e">
        <f>IF(B150=1,#REF!,IF(B150=2,#REF!,IF(B150=3,#REF!,IF(B150=4,#REF!,IF(B150=5,#REF!,IF(B150=6,#REF!,IF(B150=7,#REF!,IF(B150=8,#REF!, IF(B150=9,#REF!,IF(B150=10,#REF!,IF(B150=11,#REF!,”Error”)))))))))))</f>
        <v>#REF!</v>
      </c>
      <c r="E150" s="12" t="e">
        <f>IF(#REF!="Si",1,IF(#REF!="No",0))</f>
        <v>#REF!</v>
      </c>
      <c r="F150" s="12" t="e">
        <f>IF(#REF!="Trifásico",3,IF(#REF!="Monofásico trifilar",2,IF(#REF!="Monofásico bifilar",1)))</f>
        <v>#REF!</v>
      </c>
      <c r="G150" s="22" t="e">
        <f>IF(#REF!="Trifásico",(#REF!)/(SQRT(3)*#REF!),IF(#REF!="Monofáico trifilar",(#REF!)/(#REF!),IF(#REF!="Monofásico bifilar",(#REF!)/(#REF!))))*(1+#REF!)</f>
        <v>#REF!</v>
      </c>
      <c r="H150" s="9" t="e">
        <f>IF(F150=3,#REF!*3*((Costos!G150/#REF!)^2)*#REF!*Costos!D150*Costos!$B$4,IF(F150=2,#REF!*2*((Costos!G150/#REF!)^2)*#REF!*Costos!D150*Costos!$B$4,IF(F150=1,#REF!*((Costos!G150/#REF!)^2)*#REF!*Costos!D150*Costos!$B$4,"error")))</f>
        <v>#REF!</v>
      </c>
      <c r="I150" s="9" t="e">
        <f>#REF!*#REF!*#REF!*1000</f>
        <v>#REF!</v>
      </c>
      <c r="J150" s="72" t="e">
        <f t="shared" si="2"/>
        <v>#REF!</v>
      </c>
      <c r="K150" s="72" t="e">
        <f>IF(#REF!&gt;57.5,#REF!,IF(#REF!&gt;29.99999999,#REF!,IF(#REF!&gt;0.9999999999,#REF!,IF(#REF!&gt;0.000000001,#REF!,"Error"))))</f>
        <v>#REF!</v>
      </c>
      <c r="L150" s="13" t="e">
        <f>IF(K150&gt;J150,(1+E150*0.04)*#REF!*D150,0)</f>
        <v>#REF!</v>
      </c>
      <c r="M150" s="13" t="e">
        <f>IF(K150&gt;J150,G150^2*#REF!*D150*$B$5,0)</f>
        <v>#REF!</v>
      </c>
    </row>
    <row r="151" spans="2:13" x14ac:dyDescent="0.25">
      <c r="B151" s="2">
        <v>7</v>
      </c>
      <c r="C151" s="2" t="e">
        <f>#REF!</f>
        <v>#REF!</v>
      </c>
      <c r="D151" s="12" t="e">
        <f>IF(B151=1,#REF!,IF(B151=2,#REF!,IF(B151=3,#REF!,IF(B151=4,#REF!,IF(B151=5,#REF!,IF(B151=6,#REF!,IF(B151=7,#REF!,IF(B151=8,#REF!, IF(B151=9,#REF!,IF(B151=10,#REF!,IF(B151=11,#REF!,”Error”)))))))))))</f>
        <v>#REF!</v>
      </c>
      <c r="E151" s="12" t="e">
        <f>IF(#REF!="Si",1,IF(#REF!="No",0))</f>
        <v>#REF!</v>
      </c>
      <c r="F151" s="12" t="e">
        <f>IF(#REF!="Trifásico",3,IF(#REF!="Monofásico trifilar",2,IF(#REF!="Monofásico bifilar",1)))</f>
        <v>#REF!</v>
      </c>
      <c r="G151" s="22" t="e">
        <f>IF(#REF!="Trifásico",(#REF!)/(SQRT(3)*#REF!),IF(#REF!="Monofáico trifilar",(#REF!)/(#REF!),IF(#REF!="Monofásico bifilar",(#REF!)/(#REF!))))*(1+#REF!)</f>
        <v>#REF!</v>
      </c>
      <c r="H151" s="9" t="e">
        <f>IF(F151=3,#REF!*3*((Costos!G151/#REF!)^2)*#REF!*Costos!D151*Costos!$B$4,IF(F151=2,#REF!*2*((Costos!G151/#REF!)^2)*#REF!*Costos!D151*Costos!$B$4,IF(F151=1,#REF!*((Costos!G151/#REF!)^2)*#REF!*Costos!D151*Costos!$B$4,"error")))</f>
        <v>#REF!</v>
      </c>
      <c r="I151" s="9" t="e">
        <f>#REF!*#REF!*#REF!*1000</f>
        <v>#REF!</v>
      </c>
      <c r="J151" s="72" t="e">
        <f t="shared" si="2"/>
        <v>#REF!</v>
      </c>
      <c r="K151" s="72" t="e">
        <f>IF(#REF!&gt;57.5,#REF!,IF(#REF!&gt;29.99999999,#REF!,IF(#REF!&gt;0.9999999999,#REF!,IF(#REF!&gt;0.000000001,#REF!,"Error"))))</f>
        <v>#REF!</v>
      </c>
      <c r="L151" s="13" t="e">
        <f>IF(K151&gt;J151,(1+E151*0.04)*#REF!*D151,0)</f>
        <v>#REF!</v>
      </c>
      <c r="M151" s="13" t="e">
        <f>IF(K151&gt;J151,G151^2*#REF!*D151*$B$5,0)</f>
        <v>#REF!</v>
      </c>
    </row>
    <row r="152" spans="2:13" x14ac:dyDescent="0.25">
      <c r="B152" s="2">
        <v>7</v>
      </c>
      <c r="C152" s="2" t="e">
        <f>#REF!</f>
        <v>#REF!</v>
      </c>
      <c r="D152" s="12" t="e">
        <f>IF(B152=1,#REF!,IF(B152=2,#REF!,IF(B152=3,#REF!,IF(B152=4,#REF!,IF(B152=5,#REF!,IF(B152=6,#REF!,IF(B152=7,#REF!,IF(B152=8,#REF!, IF(B152=9,#REF!,IF(B152=10,#REF!,IF(B152=11,#REF!,”Error”)))))))))))</f>
        <v>#REF!</v>
      </c>
      <c r="E152" s="12" t="e">
        <f>IF(#REF!="Si",1,IF(#REF!="No",0))</f>
        <v>#REF!</v>
      </c>
      <c r="F152" s="12" t="e">
        <f>IF(#REF!="Trifásico",3,IF(#REF!="Monofásico trifilar",2,IF(#REF!="Monofásico bifilar",1)))</f>
        <v>#REF!</v>
      </c>
      <c r="G152" s="22" t="e">
        <f>IF(#REF!="Trifásico",(#REF!)/(SQRT(3)*#REF!),IF(#REF!="Monofáico trifilar",(#REF!)/(#REF!),IF(#REF!="Monofásico bifilar",(#REF!)/(#REF!))))*(1+#REF!)</f>
        <v>#REF!</v>
      </c>
      <c r="H152" s="9" t="e">
        <f>IF(F152=3,#REF!*3*((Costos!G152/#REF!)^2)*#REF!*Costos!D152*Costos!$B$4,IF(F152=2,#REF!*2*((Costos!G152/#REF!)^2)*#REF!*Costos!D152*Costos!$B$4,IF(F152=1,#REF!*((Costos!G152/#REF!)^2)*#REF!*Costos!D152*Costos!$B$4,"error")))</f>
        <v>#REF!</v>
      </c>
      <c r="I152" s="9" t="e">
        <f>#REF!*#REF!*#REF!*1000</f>
        <v>#REF!</v>
      </c>
      <c r="J152" s="72" t="e">
        <f t="shared" si="2"/>
        <v>#REF!</v>
      </c>
      <c r="K152" s="72" t="e">
        <f>IF(#REF!&gt;57.5,#REF!,IF(#REF!&gt;29.99999999,#REF!,IF(#REF!&gt;0.9999999999,#REF!,IF(#REF!&gt;0.000000001,#REF!,"Error"))))</f>
        <v>#REF!</v>
      </c>
      <c r="L152" s="13" t="e">
        <f>IF(K152&gt;J152,(1+E152*0.04)*#REF!*D152,0)</f>
        <v>#REF!</v>
      </c>
      <c r="M152" s="13" t="e">
        <f>IF(K152&gt;J152,G152^2*#REF!*D152*$B$5,0)</f>
        <v>#REF!</v>
      </c>
    </row>
    <row r="153" spans="2:13" x14ac:dyDescent="0.25">
      <c r="B153" s="2">
        <v>7</v>
      </c>
      <c r="C153" s="2" t="e">
        <f>#REF!</f>
        <v>#REF!</v>
      </c>
      <c r="D153" s="12" t="e">
        <f>IF(B153=1,#REF!,IF(B153=2,#REF!,IF(B153=3,#REF!,IF(B153=4,#REF!,IF(B153=5,#REF!,IF(B153=6,#REF!,IF(B153=7,#REF!,IF(B153=8,#REF!, IF(B153=9,#REF!,IF(B153=10,#REF!,IF(B153=11,#REF!,”Error”)))))))))))</f>
        <v>#REF!</v>
      </c>
      <c r="E153" s="12" t="e">
        <f>IF(#REF!="Si",1,IF(#REF!="No",0))</f>
        <v>#REF!</v>
      </c>
      <c r="F153" s="12" t="e">
        <f>IF(#REF!="Trifásico",3,IF(#REF!="Monofásico trifilar",2,IF(#REF!="Monofásico bifilar",1)))</f>
        <v>#REF!</v>
      </c>
      <c r="G153" s="22" t="e">
        <f>IF(#REF!="Trifásico",(#REF!)/(SQRT(3)*#REF!),IF(#REF!="Monofáico trifilar",(#REF!)/(#REF!),IF(#REF!="Monofásico bifilar",(#REF!)/(#REF!))))*(1+#REF!)</f>
        <v>#REF!</v>
      </c>
      <c r="H153" s="9" t="e">
        <f>IF(F153=3,#REF!*3*((Costos!G153/#REF!)^2)*#REF!*Costos!D153*Costos!$B$4,IF(F153=2,#REF!*2*((Costos!G153/#REF!)^2)*#REF!*Costos!D153*Costos!$B$4,IF(F153=1,#REF!*((Costos!G153/#REF!)^2)*#REF!*Costos!D153*Costos!$B$4,"error")))</f>
        <v>#REF!</v>
      </c>
      <c r="I153" s="9" t="e">
        <f>#REF!*#REF!*#REF!*1000</f>
        <v>#REF!</v>
      </c>
      <c r="J153" s="72" t="e">
        <f t="shared" si="2"/>
        <v>#REF!</v>
      </c>
      <c r="K153" s="72" t="e">
        <f>IF(#REF!&gt;57.5,#REF!,IF(#REF!&gt;29.99999999,#REF!,IF(#REF!&gt;0.9999999999,#REF!,IF(#REF!&gt;0.000000001,#REF!,"Error"))))</f>
        <v>#REF!</v>
      </c>
      <c r="L153" s="13" t="e">
        <f>IF(K153&gt;J153,(1+E153*0.04)*#REF!*D153,0)</f>
        <v>#REF!</v>
      </c>
      <c r="M153" s="13" t="e">
        <f>IF(K153&gt;J153,G153^2*#REF!*D153*$B$5,0)</f>
        <v>#REF!</v>
      </c>
    </row>
    <row r="154" spans="2:13" x14ac:dyDescent="0.25">
      <c r="B154" s="2">
        <v>7</v>
      </c>
      <c r="C154" s="2" t="e">
        <f>#REF!</f>
        <v>#REF!</v>
      </c>
      <c r="D154" s="12" t="e">
        <f>IF(B154=1,#REF!,IF(B154=2,#REF!,IF(B154=3,#REF!,IF(B154=4,#REF!,IF(B154=5,#REF!,IF(B154=6,#REF!,IF(B154=7,#REF!,IF(B154=8,#REF!, IF(B154=9,#REF!,IF(B154=10,#REF!,IF(B154=11,#REF!,”Error”)))))))))))</f>
        <v>#REF!</v>
      </c>
      <c r="E154" s="12" t="e">
        <f>IF(#REF!="Si",1,IF(#REF!="No",0))</f>
        <v>#REF!</v>
      </c>
      <c r="F154" s="12" t="e">
        <f>IF(#REF!="Trifásico",3,IF(#REF!="Monofásico trifilar",2,IF(#REF!="Monofásico bifilar",1)))</f>
        <v>#REF!</v>
      </c>
      <c r="G154" s="22" t="e">
        <f>IF(#REF!="Trifásico",(#REF!)/(SQRT(3)*#REF!),IF(#REF!="Monofáico trifilar",(#REF!)/(#REF!),IF(#REF!="Monofásico bifilar",(#REF!)/(#REF!))))*(1+#REF!)</f>
        <v>#REF!</v>
      </c>
      <c r="H154" s="9" t="e">
        <f>IF(F154=3,#REF!*3*((Costos!G154/#REF!)^2)*#REF!*Costos!D154*Costos!$B$4,IF(F154=2,#REF!*2*((Costos!G154/#REF!)^2)*#REF!*Costos!D154*Costos!$B$4,IF(F154=1,#REF!*((Costos!G154/#REF!)^2)*#REF!*Costos!D154*Costos!$B$4,"error")))</f>
        <v>#REF!</v>
      </c>
      <c r="I154" s="9" t="e">
        <f>#REF!*#REF!*#REF!*1000</f>
        <v>#REF!</v>
      </c>
      <c r="J154" s="72" t="e">
        <f t="shared" si="2"/>
        <v>#REF!</v>
      </c>
      <c r="K154" s="72" t="e">
        <f>IF(#REF!&gt;57.5,#REF!,IF(#REF!&gt;29.99999999,#REF!,IF(#REF!&gt;0.9999999999,#REF!,IF(#REF!&gt;0.000000001,#REF!,"Error"))))</f>
        <v>#REF!</v>
      </c>
      <c r="L154" s="13" t="e">
        <f>IF(K154&gt;J154,(1+E154*0.04)*#REF!*D154,0)</f>
        <v>#REF!</v>
      </c>
      <c r="M154" s="13" t="e">
        <f>IF(K154&gt;J154,G154^2*#REF!*D154*$B$5,0)</f>
        <v>#REF!</v>
      </c>
    </row>
    <row r="155" spans="2:13" x14ac:dyDescent="0.25">
      <c r="B155" s="2">
        <v>7</v>
      </c>
      <c r="C155" s="2" t="e">
        <f>#REF!</f>
        <v>#REF!</v>
      </c>
      <c r="D155" s="12" t="e">
        <f>IF(B155=1,#REF!,IF(B155=2,#REF!,IF(B155=3,#REF!,IF(B155=4,#REF!,IF(B155=5,#REF!,IF(B155=6,#REF!,IF(B155=7,#REF!,IF(B155=8,#REF!, IF(B155=9,#REF!,IF(B155=10,#REF!,IF(B155=11,#REF!,”Error”)))))))))))</f>
        <v>#REF!</v>
      </c>
      <c r="E155" s="12" t="e">
        <f>IF(#REF!="Si",1,IF(#REF!="No",0))</f>
        <v>#REF!</v>
      </c>
      <c r="F155" s="12" t="e">
        <f>IF(#REF!="Trifásico",3,IF(#REF!="Monofásico trifilar",2,IF(#REF!="Monofásico bifilar",1)))</f>
        <v>#REF!</v>
      </c>
      <c r="G155" s="22" t="e">
        <f>IF(#REF!="Trifásico",(#REF!)/(SQRT(3)*#REF!),IF(#REF!="Monofáico trifilar",(#REF!)/(#REF!),IF(#REF!="Monofásico bifilar",(#REF!)/(#REF!))))*(1+#REF!)</f>
        <v>#REF!</v>
      </c>
      <c r="H155" s="9" t="e">
        <f>IF(F155=3,#REF!*3*((Costos!G155/#REF!)^2)*#REF!*Costos!D155*Costos!$B$4,IF(F155=2,#REF!*2*((Costos!G155/#REF!)^2)*#REF!*Costos!D155*Costos!$B$4,IF(F155=1,#REF!*((Costos!G155/#REF!)^2)*#REF!*Costos!D155*Costos!$B$4,"error")))</f>
        <v>#REF!</v>
      </c>
      <c r="I155" s="9" t="e">
        <f>#REF!*#REF!*#REF!*1000</f>
        <v>#REF!</v>
      </c>
      <c r="J155" s="72" t="e">
        <f t="shared" si="2"/>
        <v>#REF!</v>
      </c>
      <c r="K155" s="72" t="e">
        <f>IF(#REF!&gt;57.5,#REF!,IF(#REF!&gt;29.99999999,#REF!,IF(#REF!&gt;0.9999999999,#REF!,IF(#REF!&gt;0.000000001,#REF!,"Error"))))</f>
        <v>#REF!</v>
      </c>
      <c r="L155" s="13" t="e">
        <f>IF(K155&gt;J155,(1+E155*0.04)*#REF!*D155,0)</f>
        <v>#REF!</v>
      </c>
      <c r="M155" s="13" t="e">
        <f>IF(K155&gt;J155,G155^2*#REF!*D155*$B$5,0)</f>
        <v>#REF!</v>
      </c>
    </row>
    <row r="156" spans="2:13" x14ac:dyDescent="0.25">
      <c r="B156" s="2">
        <v>7</v>
      </c>
      <c r="C156" s="2" t="e">
        <f>#REF!</f>
        <v>#REF!</v>
      </c>
      <c r="D156" s="12" t="e">
        <f>IF(B156=1,#REF!,IF(B156=2,#REF!,IF(B156=3,#REF!,IF(B156=4,#REF!,IF(B156=5,#REF!,IF(B156=6,#REF!,IF(B156=7,#REF!,IF(B156=8,#REF!, IF(B156=9,#REF!,IF(B156=10,#REF!,IF(B156=11,#REF!,”Error”)))))))))))</f>
        <v>#REF!</v>
      </c>
      <c r="E156" s="12" t="e">
        <f>IF(#REF!="Si",1,IF(#REF!="No",0))</f>
        <v>#REF!</v>
      </c>
      <c r="F156" s="12" t="e">
        <f>IF(#REF!="Trifásico",3,IF(#REF!="Monofásico trifilar",2,IF(#REF!="Monofásico bifilar",1)))</f>
        <v>#REF!</v>
      </c>
      <c r="G156" s="22" t="e">
        <f>IF(#REF!="Trifásico",(#REF!)/(SQRT(3)*#REF!),IF(#REF!="Monofáico trifilar",(#REF!)/(#REF!),IF(#REF!="Monofásico bifilar",(#REF!)/(#REF!))))*(1+#REF!)</f>
        <v>#REF!</v>
      </c>
      <c r="H156" s="9" t="e">
        <f>IF(F156=3,#REF!*3*((Costos!G156/#REF!)^2)*#REF!*Costos!D156*Costos!$B$4,IF(F156=2,#REF!*2*((Costos!G156/#REF!)^2)*#REF!*Costos!D156*Costos!$B$4,IF(F156=1,#REF!*((Costos!G156/#REF!)^2)*#REF!*Costos!D156*Costos!$B$4,"error")))</f>
        <v>#REF!</v>
      </c>
      <c r="I156" s="9" t="e">
        <f>#REF!*#REF!*#REF!*1000</f>
        <v>#REF!</v>
      </c>
      <c r="J156" s="72" t="e">
        <f t="shared" si="2"/>
        <v>#REF!</v>
      </c>
      <c r="K156" s="72" t="e">
        <f>IF(#REF!&gt;57.5,#REF!,IF(#REF!&gt;29.99999999,#REF!,IF(#REF!&gt;0.9999999999,#REF!,IF(#REF!&gt;0.000000001,#REF!,"Error"))))</f>
        <v>#REF!</v>
      </c>
      <c r="L156" s="13" t="e">
        <f>IF(K156&gt;J156,(1+E156*0.04)*#REF!*D156,0)</f>
        <v>#REF!</v>
      </c>
      <c r="M156" s="13" t="e">
        <f>IF(K156&gt;J156,G156^2*#REF!*D156*$B$5,0)</f>
        <v>#REF!</v>
      </c>
    </row>
    <row r="157" spans="2:13" x14ac:dyDescent="0.25">
      <c r="B157" s="2">
        <v>7</v>
      </c>
      <c r="C157" s="2" t="e">
        <f>#REF!</f>
        <v>#REF!</v>
      </c>
      <c r="D157" s="12" t="e">
        <f>IF(B157=1,#REF!,IF(B157=2,#REF!,IF(B157=3,#REF!,IF(B157=4,#REF!,IF(B157=5,#REF!,IF(B157=6,#REF!,IF(B157=7,#REF!,IF(B157=8,#REF!, IF(B157=9,#REF!,IF(B157=10,#REF!,IF(B157=11,#REF!,”Error”)))))))))))</f>
        <v>#REF!</v>
      </c>
      <c r="E157" s="12" t="e">
        <f>IF(#REF!="Si",1,IF(#REF!="No",0))</f>
        <v>#REF!</v>
      </c>
      <c r="F157" s="12" t="e">
        <f>IF(#REF!="Trifásico",3,IF(#REF!="Monofásico trifilar",2,IF(#REF!="Monofásico bifilar",1)))</f>
        <v>#REF!</v>
      </c>
      <c r="G157" s="22" t="e">
        <f>IF(#REF!="Trifásico",(#REF!)/(SQRT(3)*#REF!),IF(#REF!="Monofáico trifilar",(#REF!)/(#REF!),IF(#REF!="Monofásico bifilar",(#REF!)/(#REF!))))*(1+#REF!)</f>
        <v>#REF!</v>
      </c>
      <c r="H157" s="9" t="e">
        <f>IF(F157=3,#REF!*3*((Costos!G157/#REF!)^2)*#REF!*Costos!D157*Costos!$B$4,IF(F157=2,#REF!*2*((Costos!G157/#REF!)^2)*#REF!*Costos!D157*Costos!$B$4,IF(F157=1,#REF!*((Costos!G157/#REF!)^2)*#REF!*Costos!D157*Costos!$B$4,"error")))</f>
        <v>#REF!</v>
      </c>
      <c r="I157" s="9" t="e">
        <f>#REF!*#REF!*#REF!*1000</f>
        <v>#REF!</v>
      </c>
      <c r="J157" s="72" t="e">
        <f t="shared" si="2"/>
        <v>#REF!</v>
      </c>
      <c r="K157" s="72" t="e">
        <f>IF(#REF!&gt;57.5,#REF!,IF(#REF!&gt;29.99999999,#REF!,IF(#REF!&gt;0.9999999999,#REF!,IF(#REF!&gt;0.000000001,#REF!,"Error"))))</f>
        <v>#REF!</v>
      </c>
      <c r="L157" s="13" t="e">
        <f>IF(K157&gt;J157,(1+E157*0.04)*#REF!*D157,0)</f>
        <v>#REF!</v>
      </c>
      <c r="M157" s="13" t="e">
        <f>IF(K157&gt;J157,G157^2*#REF!*D157*$B$5,0)</f>
        <v>#REF!</v>
      </c>
    </row>
    <row r="158" spans="2:13" x14ac:dyDescent="0.25">
      <c r="B158" s="2">
        <v>7</v>
      </c>
      <c r="C158" s="2" t="e">
        <f>#REF!</f>
        <v>#REF!</v>
      </c>
      <c r="D158" s="12" t="e">
        <f>IF(B158=1,#REF!,IF(B158=2,#REF!,IF(B158=3,#REF!,IF(B158=4,#REF!,IF(B158=5,#REF!,IF(B158=6,#REF!,IF(B158=7,#REF!,IF(B158=8,#REF!, IF(B158=9,#REF!,IF(B158=10,#REF!,IF(B158=11,#REF!,”Error”)))))))))))</f>
        <v>#REF!</v>
      </c>
      <c r="E158" s="12" t="e">
        <f>IF(#REF!="Si",1,IF(#REF!="No",0))</f>
        <v>#REF!</v>
      </c>
      <c r="F158" s="12" t="e">
        <f>IF(#REF!="Trifásico",3,IF(#REF!="Monofásico trifilar",2,IF(#REF!="Monofásico bifilar",1)))</f>
        <v>#REF!</v>
      </c>
      <c r="G158" s="22" t="e">
        <f>IF(#REF!="Trifásico",(#REF!)/(SQRT(3)*#REF!),IF(#REF!="Monofáico trifilar",(#REF!)/(#REF!),IF(#REF!="Monofásico bifilar",(#REF!)/(#REF!))))*(1+#REF!)</f>
        <v>#REF!</v>
      </c>
      <c r="H158" s="9" t="e">
        <f>IF(F158=3,#REF!*3*((Costos!G158/#REF!)^2)*#REF!*Costos!D158*Costos!$B$4,IF(F158=2,#REF!*2*((Costos!G158/#REF!)^2)*#REF!*Costos!D158*Costos!$B$4,IF(F158=1,#REF!*((Costos!G158/#REF!)^2)*#REF!*Costos!D158*Costos!$B$4,"error")))</f>
        <v>#REF!</v>
      </c>
      <c r="I158" s="9" t="e">
        <f>#REF!*#REF!*#REF!*1000</f>
        <v>#REF!</v>
      </c>
      <c r="J158" s="72" t="e">
        <f t="shared" si="2"/>
        <v>#REF!</v>
      </c>
      <c r="K158" s="72" t="e">
        <f>IF(#REF!&gt;57.5,#REF!,IF(#REF!&gt;29.99999999,#REF!,IF(#REF!&gt;0.9999999999,#REF!,IF(#REF!&gt;0.000000001,#REF!,"Error"))))</f>
        <v>#REF!</v>
      </c>
      <c r="L158" s="13" t="e">
        <f>IF(K158&gt;J158,(1+E158*0.04)*#REF!*D158,0)</f>
        <v>#REF!</v>
      </c>
      <c r="M158" s="13" t="e">
        <f>IF(K158&gt;J158,G158^2*#REF!*D158*$B$5,0)</f>
        <v>#REF!</v>
      </c>
    </row>
    <row r="159" spans="2:13" x14ac:dyDescent="0.25">
      <c r="B159" s="2">
        <v>7</v>
      </c>
      <c r="C159" s="2" t="e">
        <f>#REF!</f>
        <v>#REF!</v>
      </c>
      <c r="D159" s="12" t="e">
        <f>IF(B159=1,#REF!,IF(B159=2,#REF!,IF(B159=3,#REF!,IF(B159=4,#REF!,IF(B159=5,#REF!,IF(B159=6,#REF!,IF(B159=7,#REF!,IF(B159=8,#REF!, IF(B159=9,#REF!,IF(B159=10,#REF!,IF(B159=11,#REF!,”Error”)))))))))))</f>
        <v>#REF!</v>
      </c>
      <c r="E159" s="12" t="e">
        <f>IF(#REF!="Si",1,IF(#REF!="No",0))</f>
        <v>#REF!</v>
      </c>
      <c r="F159" s="12" t="e">
        <f>IF(#REF!="Trifásico",3,IF(#REF!="Monofásico trifilar",2,IF(#REF!="Monofásico bifilar",1)))</f>
        <v>#REF!</v>
      </c>
      <c r="G159" s="22" t="e">
        <f>IF(#REF!="Trifásico",(#REF!)/(SQRT(3)*#REF!),IF(#REF!="Monofáico trifilar",(#REF!)/(#REF!),IF(#REF!="Monofásico bifilar",(#REF!)/(#REF!))))*(1+#REF!)</f>
        <v>#REF!</v>
      </c>
      <c r="H159" s="9" t="e">
        <f>IF(F159=3,#REF!*3*((Costos!G159/#REF!)^2)*#REF!*Costos!D159*Costos!$B$4,IF(F159=2,#REF!*2*((Costos!G159/#REF!)^2)*#REF!*Costos!D159*Costos!$B$4,IF(F159=1,#REF!*((Costos!G159/#REF!)^2)*#REF!*Costos!D159*Costos!$B$4,"error")))</f>
        <v>#REF!</v>
      </c>
      <c r="I159" s="9" t="e">
        <f>#REF!*#REF!*#REF!*1000</f>
        <v>#REF!</v>
      </c>
      <c r="J159" s="72" t="e">
        <f t="shared" si="2"/>
        <v>#REF!</v>
      </c>
      <c r="K159" s="72" t="e">
        <f>IF(#REF!&gt;57.5,#REF!,IF(#REF!&gt;29.99999999,#REF!,IF(#REF!&gt;0.9999999999,#REF!,IF(#REF!&gt;0.000000001,#REF!,"Error"))))</f>
        <v>#REF!</v>
      </c>
      <c r="L159" s="13" t="e">
        <f>IF(K159&gt;J159,(1+E159*0.04)*#REF!*D159,0)</f>
        <v>#REF!</v>
      </c>
      <c r="M159" s="13" t="e">
        <f>IF(K159&gt;J159,G159^2*#REF!*D159*$B$5,0)</f>
        <v>#REF!</v>
      </c>
    </row>
    <row r="160" spans="2:13" x14ac:dyDescent="0.25">
      <c r="B160" s="2">
        <v>7</v>
      </c>
      <c r="C160" s="2" t="e">
        <f>#REF!</f>
        <v>#REF!</v>
      </c>
      <c r="D160" s="12" t="e">
        <f>IF(B160=1,#REF!,IF(B160=2,#REF!,IF(B160=3,#REF!,IF(B160=4,#REF!,IF(B160=5,#REF!,IF(B160=6,#REF!,IF(B160=7,#REF!,IF(B160=8,#REF!, IF(B160=9,#REF!,IF(B160=10,#REF!,IF(B160=11,#REF!,”Error”)))))))))))</f>
        <v>#REF!</v>
      </c>
      <c r="E160" s="12" t="e">
        <f>IF(#REF!="Si",1,IF(#REF!="No",0))</f>
        <v>#REF!</v>
      </c>
      <c r="F160" s="12" t="e">
        <f>IF(#REF!="Trifásico",3,IF(#REF!="Monofásico trifilar",2,IF(#REF!="Monofásico bifilar",1)))</f>
        <v>#REF!</v>
      </c>
      <c r="G160" s="22" t="e">
        <f>IF(#REF!="Trifásico",(#REF!)/(SQRT(3)*#REF!),IF(#REF!="Monofáico trifilar",(#REF!)/(#REF!),IF(#REF!="Monofásico bifilar",(#REF!)/(#REF!))))*(1+#REF!)</f>
        <v>#REF!</v>
      </c>
      <c r="H160" s="9" t="e">
        <f>IF(F160=3,#REF!*3*((Costos!G160/#REF!)^2)*#REF!*Costos!D160*Costos!$B$4,IF(F160=2,#REF!*2*((Costos!G160/#REF!)^2)*#REF!*Costos!D160*Costos!$B$4,IF(F160=1,#REF!*((Costos!G160/#REF!)^2)*#REF!*Costos!D160*Costos!$B$4,"error")))</f>
        <v>#REF!</v>
      </c>
      <c r="I160" s="9" t="e">
        <f>#REF!*#REF!*#REF!*1000</f>
        <v>#REF!</v>
      </c>
      <c r="J160" s="72" t="e">
        <f t="shared" si="2"/>
        <v>#REF!</v>
      </c>
      <c r="K160" s="72" t="e">
        <f>IF(#REF!&gt;57.5,#REF!,IF(#REF!&gt;29.99999999,#REF!,IF(#REF!&gt;0.9999999999,#REF!,IF(#REF!&gt;0.000000001,#REF!,"Error"))))</f>
        <v>#REF!</v>
      </c>
      <c r="L160" s="13" t="e">
        <f>IF(K160&gt;J160,(1+E160*0.04)*#REF!*D160,0)</f>
        <v>#REF!</v>
      </c>
      <c r="M160" s="13" t="e">
        <f>IF(K160&gt;J160,G160^2*#REF!*D160*$B$5,0)</f>
        <v>#REF!</v>
      </c>
    </row>
    <row r="161" spans="2:13" x14ac:dyDescent="0.25">
      <c r="B161" s="2">
        <v>7</v>
      </c>
      <c r="C161" s="2" t="e">
        <f>#REF!</f>
        <v>#REF!</v>
      </c>
      <c r="D161" s="12" t="e">
        <f>IF(B161=1,#REF!,IF(B161=2,#REF!,IF(B161=3,#REF!,IF(B161=4,#REF!,IF(B161=5,#REF!,IF(B161=6,#REF!,IF(B161=7,#REF!,IF(B161=8,#REF!, IF(B161=9,#REF!,IF(B161=10,#REF!,IF(B161=11,#REF!,”Error”)))))))))))</f>
        <v>#REF!</v>
      </c>
      <c r="E161" s="12" t="e">
        <f>IF(#REF!="Si",1,IF(#REF!="No",0))</f>
        <v>#REF!</v>
      </c>
      <c r="F161" s="12" t="e">
        <f>IF(#REF!="Trifásico",3,IF(#REF!="Monofásico trifilar",2,IF(#REF!="Monofásico bifilar",1)))</f>
        <v>#REF!</v>
      </c>
      <c r="G161" s="22" t="e">
        <f>IF(#REF!="Trifásico",(#REF!)/(SQRT(3)*#REF!),IF(#REF!="Monofáico trifilar",(#REF!)/(#REF!),IF(#REF!="Monofásico bifilar",(#REF!)/(#REF!))))*(1+#REF!)</f>
        <v>#REF!</v>
      </c>
      <c r="H161" s="9" t="e">
        <f>IF(F161=3,#REF!*3*((Costos!G161/#REF!)^2)*#REF!*Costos!D161*Costos!$B$4,IF(F161=2,#REF!*2*((Costos!G161/#REF!)^2)*#REF!*Costos!D161*Costos!$B$4,IF(F161=1,#REF!*((Costos!G161/#REF!)^2)*#REF!*Costos!D161*Costos!$B$4,"error")))</f>
        <v>#REF!</v>
      </c>
      <c r="I161" s="9" t="e">
        <f>#REF!*#REF!*#REF!*1000</f>
        <v>#REF!</v>
      </c>
      <c r="J161" s="72" t="e">
        <f t="shared" si="2"/>
        <v>#REF!</v>
      </c>
      <c r="K161" s="72" t="e">
        <f>IF(#REF!&gt;57.5,#REF!,IF(#REF!&gt;29.99999999,#REF!,IF(#REF!&gt;0.9999999999,#REF!,IF(#REF!&gt;0.000000001,#REF!,"Error"))))</f>
        <v>#REF!</v>
      </c>
      <c r="L161" s="13" t="e">
        <f>IF(K161&gt;J161,(1+E161*0.04)*#REF!*D161,0)</f>
        <v>#REF!</v>
      </c>
      <c r="M161" s="13" t="e">
        <f>IF(K161&gt;J161,G161^2*#REF!*D161*$B$5,0)</f>
        <v>#REF!</v>
      </c>
    </row>
    <row r="162" spans="2:13" x14ac:dyDescent="0.25">
      <c r="B162" s="2">
        <v>7</v>
      </c>
      <c r="C162" s="2" t="e">
        <f>#REF!</f>
        <v>#REF!</v>
      </c>
      <c r="D162" s="12" t="e">
        <f>IF(B162=1,#REF!,IF(B162=2,#REF!,IF(B162=3,#REF!,IF(B162=4,#REF!,IF(B162=5,#REF!,IF(B162=6,#REF!,IF(B162=7,#REF!,IF(B162=8,#REF!, IF(B162=9,#REF!,IF(B162=10,#REF!,IF(B162=11,#REF!,”Error”)))))))))))</f>
        <v>#REF!</v>
      </c>
      <c r="E162" s="12" t="e">
        <f>IF(#REF!="Si",1,IF(#REF!="No",0))</f>
        <v>#REF!</v>
      </c>
      <c r="F162" s="12" t="e">
        <f>IF(#REF!="Trifásico",3,IF(#REF!="Monofásico trifilar",2,IF(#REF!="Monofásico bifilar",1)))</f>
        <v>#REF!</v>
      </c>
      <c r="G162" s="22" t="e">
        <f>IF(#REF!="Trifásico",(#REF!)/(SQRT(3)*#REF!),IF(#REF!="Monofáico trifilar",(#REF!)/(#REF!),IF(#REF!="Monofásico bifilar",(#REF!)/(#REF!))))*(1+#REF!)</f>
        <v>#REF!</v>
      </c>
      <c r="H162" s="9" t="e">
        <f>IF(F162=3,#REF!*3*((Costos!G162/#REF!)^2)*#REF!*Costos!D162*Costos!$B$4,IF(F162=2,#REF!*2*((Costos!G162/#REF!)^2)*#REF!*Costos!D162*Costos!$B$4,IF(F162=1,#REF!*((Costos!G162/#REF!)^2)*#REF!*Costos!D162*Costos!$B$4,"error")))</f>
        <v>#REF!</v>
      </c>
      <c r="I162" s="9" t="e">
        <f>#REF!*#REF!*#REF!*1000</f>
        <v>#REF!</v>
      </c>
      <c r="J162" s="72" t="e">
        <f t="shared" si="2"/>
        <v>#REF!</v>
      </c>
      <c r="K162" s="72" t="e">
        <f>IF(#REF!&gt;57.5,#REF!,IF(#REF!&gt;29.99999999,#REF!,IF(#REF!&gt;0.9999999999,#REF!,IF(#REF!&gt;0.000000001,#REF!,"Error"))))</f>
        <v>#REF!</v>
      </c>
      <c r="L162" s="13" t="e">
        <f>IF(K162&gt;J162,(1+E162*0.04)*#REF!*D162,0)</f>
        <v>#REF!</v>
      </c>
      <c r="M162" s="13" t="e">
        <f>IF(K162&gt;J162,G162^2*#REF!*D162*$B$5,0)</f>
        <v>#REF!</v>
      </c>
    </row>
    <row r="163" spans="2:13" x14ac:dyDescent="0.25">
      <c r="B163" s="2">
        <v>7</v>
      </c>
      <c r="C163" s="2" t="e">
        <f>#REF!</f>
        <v>#REF!</v>
      </c>
      <c r="D163" s="12" t="e">
        <f>IF(B163=1,#REF!,IF(B163=2,#REF!,IF(B163=3,#REF!,IF(B163=4,#REF!,IF(B163=5,#REF!,IF(B163=6,#REF!,IF(B163=7,#REF!,IF(B163=8,#REF!, IF(B163=9,#REF!,IF(B163=10,#REF!,IF(B163=11,#REF!,”Error”)))))))))))</f>
        <v>#REF!</v>
      </c>
      <c r="E163" s="12" t="e">
        <f>IF(#REF!="Si",1,IF(#REF!="No",0))</f>
        <v>#REF!</v>
      </c>
      <c r="F163" s="12" t="e">
        <f>IF(#REF!="Trifásico",3,IF(#REF!="Monofásico trifilar",2,IF(#REF!="Monofásico bifilar",1)))</f>
        <v>#REF!</v>
      </c>
      <c r="G163" s="22" t="e">
        <f>IF(#REF!="Trifásico",(#REF!)/(SQRT(3)*#REF!),IF(#REF!="Monofáico trifilar",(#REF!)/(#REF!),IF(#REF!="Monofásico bifilar",(#REF!)/(#REF!))))*(1+#REF!)</f>
        <v>#REF!</v>
      </c>
      <c r="H163" s="9" t="e">
        <f>IF(F163=3,#REF!*3*((Costos!G163/#REF!)^2)*#REF!*Costos!D163*Costos!$B$4,IF(F163=2,#REF!*2*((Costos!G163/#REF!)^2)*#REF!*Costos!D163*Costos!$B$4,IF(F163=1,#REF!*((Costos!G163/#REF!)^2)*#REF!*Costos!D163*Costos!$B$4,"error")))</f>
        <v>#REF!</v>
      </c>
      <c r="I163" s="9" t="e">
        <f>#REF!*#REF!*#REF!*1000</f>
        <v>#REF!</v>
      </c>
      <c r="J163" s="72" t="e">
        <f t="shared" si="2"/>
        <v>#REF!</v>
      </c>
      <c r="K163" s="72" t="e">
        <f>IF(#REF!&gt;57.5,#REF!,IF(#REF!&gt;29.99999999,#REF!,IF(#REF!&gt;0.9999999999,#REF!,IF(#REF!&gt;0.000000001,#REF!,"Error"))))</f>
        <v>#REF!</v>
      </c>
      <c r="L163" s="13" t="e">
        <f>IF(K163&gt;J163,(1+E163*0.04)*#REF!*D163,0)</f>
        <v>#REF!</v>
      </c>
      <c r="M163" s="13" t="e">
        <f>IF(K163&gt;J163,G163^2*#REF!*D163*$B$5,0)</f>
        <v>#REF!</v>
      </c>
    </row>
    <row r="164" spans="2:13" x14ac:dyDescent="0.25">
      <c r="B164" s="2">
        <v>7</v>
      </c>
      <c r="C164" s="2" t="e">
        <f>#REF!</f>
        <v>#REF!</v>
      </c>
      <c r="D164" s="12" t="e">
        <f>IF(B164=1,#REF!,IF(B164=2,#REF!,IF(B164=3,#REF!,IF(B164=4,#REF!,IF(B164=5,#REF!,IF(B164=6,#REF!,IF(B164=7,#REF!,IF(B164=8,#REF!, IF(B164=9,#REF!,IF(B164=10,#REF!,IF(B164=11,#REF!,”Error”)))))))))))</f>
        <v>#REF!</v>
      </c>
      <c r="E164" s="12" t="e">
        <f>IF(#REF!="Si",1,IF(#REF!="No",0))</f>
        <v>#REF!</v>
      </c>
      <c r="F164" s="12" t="e">
        <f>IF(#REF!="Trifásico",3,IF(#REF!="Monofásico trifilar",2,IF(#REF!="Monofásico bifilar",1)))</f>
        <v>#REF!</v>
      </c>
      <c r="G164" s="22" t="e">
        <f>IF(#REF!="Trifásico",(#REF!)/(SQRT(3)*#REF!),IF(#REF!="Monofáico trifilar",(#REF!)/(#REF!),IF(#REF!="Monofásico bifilar",(#REF!)/(#REF!))))*(1+#REF!)</f>
        <v>#REF!</v>
      </c>
      <c r="H164" s="9" t="e">
        <f>IF(F164=3,#REF!*3*((Costos!G164/#REF!)^2)*#REF!*Costos!D164*Costos!$B$4,IF(F164=2,#REF!*2*((Costos!G164/#REF!)^2)*#REF!*Costos!D164*Costos!$B$4,IF(F164=1,#REF!*((Costos!G164/#REF!)^2)*#REF!*Costos!D164*Costos!$B$4,"error")))</f>
        <v>#REF!</v>
      </c>
      <c r="I164" s="9" t="e">
        <f>#REF!*#REF!*#REF!*1000</f>
        <v>#REF!</v>
      </c>
      <c r="J164" s="72" t="e">
        <f t="shared" si="2"/>
        <v>#REF!</v>
      </c>
      <c r="K164" s="72" t="e">
        <f>IF(#REF!&gt;57.5,#REF!,IF(#REF!&gt;29.99999999,#REF!,IF(#REF!&gt;0.9999999999,#REF!,IF(#REF!&gt;0.000000001,#REF!,"Error"))))</f>
        <v>#REF!</v>
      </c>
      <c r="L164" s="13" t="e">
        <f>IF(K164&gt;J164,(1+E164*0.04)*#REF!*D164,0)</f>
        <v>#REF!</v>
      </c>
      <c r="M164" s="13" t="e">
        <f>IF(K164&gt;J164,G164^2*#REF!*D164*$B$5,0)</f>
        <v>#REF!</v>
      </c>
    </row>
    <row r="165" spans="2:13" x14ac:dyDescent="0.25">
      <c r="B165" s="2">
        <v>7</v>
      </c>
      <c r="C165" s="2" t="e">
        <f>#REF!</f>
        <v>#REF!</v>
      </c>
      <c r="D165" s="12" t="e">
        <f>IF(B165=1,#REF!,IF(B165=2,#REF!,IF(B165=3,#REF!,IF(B165=4,#REF!,IF(B165=5,#REF!,IF(B165=6,#REF!,IF(B165=7,#REF!,IF(B165=8,#REF!, IF(B165=9,#REF!,IF(B165=10,#REF!,IF(B165=11,#REF!,”Error”)))))))))))</f>
        <v>#REF!</v>
      </c>
      <c r="E165" s="12" t="e">
        <f>IF(#REF!="Si",1,IF(#REF!="No",0))</f>
        <v>#REF!</v>
      </c>
      <c r="F165" s="12" t="e">
        <f>IF(#REF!="Trifásico",3,IF(#REF!="Monofásico trifilar",2,IF(#REF!="Monofásico bifilar",1)))</f>
        <v>#REF!</v>
      </c>
      <c r="G165" s="22" t="e">
        <f>IF(#REF!="Trifásico",(#REF!)/(SQRT(3)*#REF!),IF(#REF!="Monofáico trifilar",(#REF!)/(#REF!),IF(#REF!="Monofásico bifilar",(#REF!)/(#REF!))))*(1+#REF!)</f>
        <v>#REF!</v>
      </c>
      <c r="H165" s="9" t="e">
        <f>IF(F165=3,#REF!*3*((Costos!G165/#REF!)^2)*#REF!*Costos!D165*Costos!$B$4,IF(F165=2,#REF!*2*((Costos!G165/#REF!)^2)*#REF!*Costos!D165*Costos!$B$4,IF(F165=1,#REF!*((Costos!G165/#REF!)^2)*#REF!*Costos!D165*Costos!$B$4,"error")))</f>
        <v>#REF!</v>
      </c>
      <c r="I165" s="9" t="e">
        <f>#REF!*#REF!*#REF!*1000</f>
        <v>#REF!</v>
      </c>
      <c r="J165" s="72" t="e">
        <f t="shared" si="2"/>
        <v>#REF!</v>
      </c>
      <c r="K165" s="72" t="e">
        <f>IF(#REF!&gt;57.5,#REF!,IF(#REF!&gt;29.99999999,#REF!,IF(#REF!&gt;0.9999999999,#REF!,IF(#REF!&gt;0.000000001,#REF!,"Error"))))</f>
        <v>#REF!</v>
      </c>
      <c r="L165" s="13" t="e">
        <f>IF(K165&gt;J165,(1+E165*0.04)*#REF!*D165,0)</f>
        <v>#REF!</v>
      </c>
      <c r="M165" s="13" t="e">
        <f>IF(K165&gt;J165,G165^2*#REF!*D165*$B$5,0)</f>
        <v>#REF!</v>
      </c>
    </row>
    <row r="166" spans="2:13" x14ac:dyDescent="0.25">
      <c r="B166" s="2">
        <v>7</v>
      </c>
      <c r="C166" s="2" t="e">
        <f>#REF!</f>
        <v>#REF!</v>
      </c>
      <c r="D166" s="12" t="e">
        <f>IF(B166=1,#REF!,IF(B166=2,#REF!,IF(B166=3,#REF!,IF(B166=4,#REF!,IF(B166=5,#REF!,IF(B166=6,#REF!,IF(B166=7,#REF!,IF(B166=8,#REF!, IF(B166=9,#REF!,IF(B166=10,#REF!,IF(B166=11,#REF!,”Error”)))))))))))</f>
        <v>#REF!</v>
      </c>
      <c r="E166" s="12" t="e">
        <f>IF(#REF!="Si",1,IF(#REF!="No",0))</f>
        <v>#REF!</v>
      </c>
      <c r="F166" s="12" t="e">
        <f>IF(#REF!="Trifásico",3,IF(#REF!="Monofásico trifilar",2,IF(#REF!="Monofásico bifilar",1)))</f>
        <v>#REF!</v>
      </c>
      <c r="G166" s="22" t="e">
        <f>IF(#REF!="Trifásico",(#REF!)/(SQRT(3)*#REF!),IF(#REF!="Monofáico trifilar",(#REF!)/(#REF!),IF(#REF!="Monofásico bifilar",(#REF!)/(#REF!))))*(1+#REF!)</f>
        <v>#REF!</v>
      </c>
      <c r="H166" s="9" t="e">
        <f>IF(F166=3,#REF!*3*((Costos!G166/#REF!)^2)*#REF!*Costos!D166*Costos!$B$4,IF(F166=2,#REF!*2*((Costos!G166/#REF!)^2)*#REF!*Costos!D166*Costos!$B$4,IF(F166=1,#REF!*((Costos!G166/#REF!)^2)*#REF!*Costos!D166*Costos!$B$4,"error")))</f>
        <v>#REF!</v>
      </c>
      <c r="I166" s="9" t="e">
        <f>#REF!*#REF!*#REF!*1000</f>
        <v>#REF!</v>
      </c>
      <c r="J166" s="72" t="e">
        <f t="shared" si="2"/>
        <v>#REF!</v>
      </c>
      <c r="K166" s="72" t="e">
        <f>IF(#REF!&gt;57.5,#REF!,IF(#REF!&gt;29.99999999,#REF!,IF(#REF!&gt;0.9999999999,#REF!,IF(#REF!&gt;0.000000001,#REF!,"Error"))))</f>
        <v>#REF!</v>
      </c>
      <c r="L166" s="13" t="e">
        <f>IF(K166&gt;J166,(1+E166*0.04)*#REF!*D166,0)</f>
        <v>#REF!</v>
      </c>
      <c r="M166" s="13" t="e">
        <f>IF(K166&gt;J166,G166^2*#REF!*D166*$B$5,0)</f>
        <v>#REF!</v>
      </c>
    </row>
    <row r="167" spans="2:13" x14ac:dyDescent="0.25">
      <c r="B167" s="2">
        <v>7</v>
      </c>
      <c r="C167" s="2" t="e">
        <f>#REF!</f>
        <v>#REF!</v>
      </c>
      <c r="D167" s="12" t="e">
        <f>IF(B167=1,#REF!,IF(B167=2,#REF!,IF(B167=3,#REF!,IF(B167=4,#REF!,IF(B167=5,#REF!,IF(B167=6,#REF!,IF(B167=7,#REF!,IF(B167=8,#REF!, IF(B167=9,#REF!,IF(B167=10,#REF!,IF(B167=11,#REF!,”Error”)))))))))))</f>
        <v>#REF!</v>
      </c>
      <c r="E167" s="12" t="e">
        <f>IF(#REF!="Si",1,IF(#REF!="No",0))</f>
        <v>#REF!</v>
      </c>
      <c r="F167" s="12" t="e">
        <f>IF(#REF!="Trifásico",3,IF(#REF!="Monofásico trifilar",2,IF(#REF!="Monofásico bifilar",1)))</f>
        <v>#REF!</v>
      </c>
      <c r="G167" s="22" t="e">
        <f>IF(#REF!="Trifásico",(#REF!)/(SQRT(3)*#REF!),IF(#REF!="Monofáico trifilar",(#REF!)/(#REF!),IF(#REF!="Monofásico bifilar",(#REF!)/(#REF!))))*(1+#REF!)</f>
        <v>#REF!</v>
      </c>
      <c r="H167" s="9" t="e">
        <f>IF(F167=3,#REF!*3*((Costos!G167/#REF!)^2)*#REF!*Costos!D167*Costos!$B$4,IF(F167=2,#REF!*2*((Costos!G167/#REF!)^2)*#REF!*Costos!D167*Costos!$B$4,IF(F167=1,#REF!*((Costos!G167/#REF!)^2)*#REF!*Costos!D167*Costos!$B$4,"error")))</f>
        <v>#REF!</v>
      </c>
      <c r="I167" s="9" t="e">
        <f>#REF!*#REF!*#REF!*1000</f>
        <v>#REF!</v>
      </c>
      <c r="J167" s="72" t="e">
        <f t="shared" si="2"/>
        <v>#REF!</v>
      </c>
      <c r="K167" s="72" t="e">
        <f>IF(#REF!&gt;57.5,#REF!,IF(#REF!&gt;29.99999999,#REF!,IF(#REF!&gt;0.9999999999,#REF!,IF(#REF!&gt;0.000000001,#REF!,"Error"))))</f>
        <v>#REF!</v>
      </c>
      <c r="L167" s="13" t="e">
        <f>IF(K167&gt;J167,(1+E167*0.04)*#REF!*D167,0)</f>
        <v>#REF!</v>
      </c>
      <c r="M167" s="13" t="e">
        <f>IF(K167&gt;J167,G167^2*#REF!*D167*$B$5,0)</f>
        <v>#REF!</v>
      </c>
    </row>
    <row r="168" spans="2:13" x14ac:dyDescent="0.25">
      <c r="B168" s="2">
        <v>7</v>
      </c>
      <c r="C168" s="2" t="e">
        <f>#REF!</f>
        <v>#REF!</v>
      </c>
      <c r="D168" s="12" t="e">
        <f>IF(B168=1,#REF!,IF(B168=2,#REF!,IF(B168=3,#REF!,IF(B168=4,#REF!,IF(B168=5,#REF!,IF(B168=6,#REF!,IF(B168=7,#REF!,IF(B168=8,#REF!, IF(B168=9,#REF!,IF(B168=10,#REF!,IF(B168=11,#REF!,”Error”)))))))))))</f>
        <v>#REF!</v>
      </c>
      <c r="E168" s="12" t="e">
        <f>IF(#REF!="Si",1,IF(#REF!="No",0))</f>
        <v>#REF!</v>
      </c>
      <c r="F168" s="12" t="e">
        <f>IF(#REF!="Trifásico",3,IF(#REF!="Monofásico trifilar",2,IF(#REF!="Monofásico bifilar",1)))</f>
        <v>#REF!</v>
      </c>
      <c r="G168" s="22" t="e">
        <f>IF(#REF!="Trifásico",(#REF!)/(SQRT(3)*#REF!),IF(#REF!="Monofáico trifilar",(#REF!)/(#REF!),IF(#REF!="Monofásico bifilar",(#REF!)/(#REF!))))*(1+#REF!)</f>
        <v>#REF!</v>
      </c>
      <c r="H168" s="9" t="e">
        <f>IF(F168=3,#REF!*3*((Costos!G168/#REF!)^2)*#REF!*Costos!D168*Costos!$B$4,IF(F168=2,#REF!*2*((Costos!G168/#REF!)^2)*#REF!*Costos!D168*Costos!$B$4,IF(F168=1,#REF!*((Costos!G168/#REF!)^2)*#REF!*Costos!D168*Costos!$B$4,"error")))</f>
        <v>#REF!</v>
      </c>
      <c r="I168" s="9" t="e">
        <f>#REF!*#REF!*#REF!*1000</f>
        <v>#REF!</v>
      </c>
      <c r="J168" s="72" t="e">
        <f t="shared" si="2"/>
        <v>#REF!</v>
      </c>
      <c r="K168" s="72" t="e">
        <f>IF(#REF!&gt;57.5,#REF!,IF(#REF!&gt;29.99999999,#REF!,IF(#REF!&gt;0.9999999999,#REF!,IF(#REF!&gt;0.000000001,#REF!,"Error"))))</f>
        <v>#REF!</v>
      </c>
      <c r="L168" s="13" t="e">
        <f>IF(K168&gt;J168,(1+E168*0.04)*#REF!*D168,0)</f>
        <v>#REF!</v>
      </c>
      <c r="M168" s="13" t="e">
        <f>IF(K168&gt;J168,G168^2*#REF!*D168*$B$5,0)</f>
        <v>#REF!</v>
      </c>
    </row>
    <row r="169" spans="2:13" x14ac:dyDescent="0.25">
      <c r="B169" s="2">
        <v>8</v>
      </c>
      <c r="C169" s="2" t="e">
        <f>#REF!</f>
        <v>#REF!</v>
      </c>
      <c r="D169" s="12" t="e">
        <f>IF(B169=1,#REF!,IF(B169=2,#REF!,IF(B169=3,#REF!,IF(B169=4,#REF!,IF(B169=5,#REF!,IF(B169=6,#REF!,IF(B169=7,#REF!,IF(B169=8,#REF!, IF(B169=9,#REF!,IF(B169=10,#REF!,IF(B169=11,#REF!,”Error”)))))))))))</f>
        <v>#REF!</v>
      </c>
      <c r="E169" s="12" t="e">
        <f>IF(#REF!="Si",1,IF(#REF!="No",0))</f>
        <v>#REF!</v>
      </c>
      <c r="F169" s="12" t="e">
        <f>IF(#REF!="Trifásico",3,IF(#REF!="Monofásico trifilar",2,IF(#REF!="Monofásico bifilar",1)))</f>
        <v>#REF!</v>
      </c>
      <c r="G169" s="22" t="e">
        <f>IF(#REF!="Trifásico",(#REF!)/(SQRT(3)*#REF!),IF(#REF!="Monofásico trifilar",(#REF!)/(#REF!),IF(#REF!="Monofásico bifilar",(#REF!)/(#REF!))))*(1+#REF!)</f>
        <v>#REF!</v>
      </c>
      <c r="H169" s="9" t="e">
        <f>IF(F169=3,#REF!*3*((Costos!G169/#REF!)^2)*#REF!*Costos!D169*Costos!$B$4,IF(F169=2,#REF!*2*((Costos!G169/#REF!)^2)*#REF!*Costos!D169*Costos!$B$4,IF(F169=1,#REF!*((Costos!G169/#REF!)^2)*#REF!*Costos!D169*Costos!$B$4,"error")))</f>
        <v>#REF!</v>
      </c>
      <c r="I169" s="9" t="e">
        <f>#REF!*#REF!*#REF!*1000</f>
        <v>#REF!</v>
      </c>
      <c r="J169" s="72" t="e">
        <f t="shared" si="2"/>
        <v>#REF!</v>
      </c>
      <c r="K169" s="72" t="e">
        <f>IF(#REF!&gt;57.5,#REF!,IF(#REF!&gt;29.99999999,#REF!,IF(#REF!&gt;0.9999999999,#REF!,IF(#REF!&gt;0.000000001,#REF!,"Error"))))</f>
        <v>#REF!</v>
      </c>
      <c r="L169" s="13" t="e">
        <f>IF(K169&gt;J169,(1+E169*0.04)*#REF!*D169,0)</f>
        <v>#REF!</v>
      </c>
      <c r="M169" s="13" t="e">
        <f>IF(K169&gt;J169,G169^2*#REF!*D169*$B$5,0)</f>
        <v>#REF!</v>
      </c>
    </row>
    <row r="170" spans="2:13" x14ac:dyDescent="0.25">
      <c r="B170" s="2">
        <v>8</v>
      </c>
      <c r="C170" s="2" t="e">
        <f>#REF!</f>
        <v>#REF!</v>
      </c>
      <c r="D170" s="12" t="e">
        <f>IF(B170=1,#REF!,IF(B170=2,#REF!,IF(B170=3,#REF!,IF(B170=4,#REF!,IF(B170=5,#REF!,IF(B170=6,#REF!,IF(B170=7,#REF!,IF(B170=8,#REF!, IF(B170=9,#REF!,IF(B170=10,#REF!,IF(B170=11,#REF!,”Error”)))))))))))</f>
        <v>#REF!</v>
      </c>
      <c r="E170" s="12" t="e">
        <f>IF(#REF!="Si",1,IF(#REF!="No",0))</f>
        <v>#REF!</v>
      </c>
      <c r="F170" s="12" t="e">
        <f>IF(#REF!="Trifásico",3,IF(#REF!="Monofásico trifilar",2,IF(#REF!="Monofásico bifilar",1)))</f>
        <v>#REF!</v>
      </c>
      <c r="G170" s="22" t="e">
        <f>IF(#REF!="Trifásico",(#REF!)/(SQRT(3)*#REF!),IF(#REF!="Monofásico trifilar",(#REF!)/(#REF!),IF(#REF!="Monofásico bifilar",(#REF!)/(#REF!))))*(1+#REF!)</f>
        <v>#REF!</v>
      </c>
      <c r="H170" s="9" t="e">
        <f>IF(F170=3,#REF!*3*((Costos!G170/#REF!)^2)*#REF!*Costos!D170*Costos!$B$4,IF(F170=2,#REF!*2*((Costos!G170/#REF!)^2)*#REF!*Costos!D170*Costos!$B$4,IF(F170=1,#REF!*((Costos!G170/#REF!)^2)*#REF!*Costos!D170*Costos!$B$4,"error")))</f>
        <v>#REF!</v>
      </c>
      <c r="I170" s="9" t="e">
        <f>#REF!*#REF!*#REF!*1000</f>
        <v>#REF!</v>
      </c>
      <c r="J170" s="72" t="e">
        <f t="shared" si="2"/>
        <v>#REF!</v>
      </c>
      <c r="K170" s="72" t="e">
        <f>IF(#REF!&gt;57.5,#REF!,IF(#REF!&gt;29.99999999,#REF!,IF(#REF!&gt;0.9999999999,#REF!,IF(#REF!&gt;0.000000001,#REF!,"Error"))))</f>
        <v>#REF!</v>
      </c>
      <c r="L170" s="13" t="e">
        <f>IF(K170&gt;J170,(1+E170*0.04)*#REF!*D170,0)</f>
        <v>#REF!</v>
      </c>
      <c r="M170" s="13" t="e">
        <f>IF(K170&gt;J170,G170^2*#REF!*D170*$B$5,0)</f>
        <v>#REF!</v>
      </c>
    </row>
    <row r="171" spans="2:13" x14ac:dyDescent="0.25">
      <c r="B171" s="2">
        <v>8</v>
      </c>
      <c r="C171" s="2" t="e">
        <f>#REF!</f>
        <v>#REF!</v>
      </c>
      <c r="D171" s="12" t="e">
        <f>IF(B171=1,#REF!,IF(B171=2,#REF!,IF(B171=3,#REF!,IF(B171=4,#REF!,IF(B171=5,#REF!,IF(B171=6,#REF!,IF(B171=7,#REF!,IF(B171=8,#REF!, IF(B171=9,#REF!,IF(B171=10,#REF!,IF(B171=11,#REF!,”Error”)))))))))))</f>
        <v>#REF!</v>
      </c>
      <c r="E171" s="12" t="e">
        <f>IF(#REF!="Si",1,IF(#REF!="No",0))</f>
        <v>#REF!</v>
      </c>
      <c r="F171" s="12" t="e">
        <f>IF(#REF!="Trifásico",3,IF(#REF!="Monofásico trifilar",2,IF(#REF!="Monofásico bifilar",1)))</f>
        <v>#REF!</v>
      </c>
      <c r="G171" s="22" t="e">
        <f>IF(#REF!="Trifásico",(#REF!)/(SQRT(3)*#REF!),IF(#REF!="Monofásico trifilar",(#REF!)/(#REF!),IF(#REF!="Monofásico bifilar",(#REF!)/(#REF!))))*(1+#REF!)</f>
        <v>#REF!</v>
      </c>
      <c r="H171" s="9" t="e">
        <f>IF(F171=3,#REF!*3*((Costos!G171/#REF!)^2)*#REF!*Costos!D171*Costos!$B$4,IF(F171=2,#REF!*2*((Costos!G171/#REF!)^2)*#REF!*Costos!D171*Costos!$B$4,IF(F171=1,#REF!*((Costos!G171/#REF!)^2)*#REF!*Costos!D171*Costos!$B$4,"error")))</f>
        <v>#REF!</v>
      </c>
      <c r="I171" s="9" t="e">
        <f>#REF!*#REF!*#REF!*1000</f>
        <v>#REF!</v>
      </c>
      <c r="J171" s="72" t="e">
        <f t="shared" si="2"/>
        <v>#REF!</v>
      </c>
      <c r="K171" s="72" t="e">
        <f>IF(#REF!&gt;57.5,#REF!,IF(#REF!&gt;29.99999999,#REF!,IF(#REF!&gt;0.9999999999,#REF!,IF(#REF!&gt;0.000000001,#REF!,"Error"))))</f>
        <v>#REF!</v>
      </c>
      <c r="L171" s="13" t="e">
        <f>IF(K171&gt;J171,(1+E171*0.04)*#REF!*D171,0)</f>
        <v>#REF!</v>
      </c>
      <c r="M171" s="13" t="e">
        <f>IF(K171&gt;J171,G171^2*#REF!*D171*$B$5,0)</f>
        <v>#REF!</v>
      </c>
    </row>
    <row r="172" spans="2:13" x14ac:dyDescent="0.25">
      <c r="B172" s="2">
        <v>8</v>
      </c>
      <c r="C172" s="2" t="e">
        <f>#REF!</f>
        <v>#REF!</v>
      </c>
      <c r="D172" s="12" t="e">
        <f>IF(B172=1,#REF!,IF(B172=2,#REF!,IF(B172=3,#REF!,IF(B172=4,#REF!,IF(B172=5,#REF!,IF(B172=6,#REF!,IF(B172=7,#REF!,IF(B172=8,#REF!, IF(B172=9,#REF!,IF(B172=10,#REF!,IF(B172=11,#REF!,”Error”)))))))))))</f>
        <v>#REF!</v>
      </c>
      <c r="E172" s="12" t="e">
        <f>IF(#REF!="Si",1,IF(#REF!="No",0))</f>
        <v>#REF!</v>
      </c>
      <c r="F172" s="12" t="e">
        <f>IF(#REF!="Trifásico",3,IF(#REF!="Monofásico trifilar",2,IF(#REF!="Monofásico bifilar",1)))</f>
        <v>#REF!</v>
      </c>
      <c r="G172" s="22" t="e">
        <f>IF(#REF!="Trifásico",(#REF!)/(SQRT(3)*#REF!),IF(#REF!="Monofásico trifilar",(#REF!)/(#REF!),IF(#REF!="Monofásico bifilar",(#REF!)/(#REF!))))*(1+#REF!)</f>
        <v>#REF!</v>
      </c>
      <c r="H172" s="9" t="e">
        <f>IF(F172=3,#REF!*3*((Costos!G172/#REF!)^2)*#REF!*Costos!D172*Costos!$B$4,IF(F172=2,#REF!*2*((Costos!G172/#REF!)^2)*#REF!*Costos!D172*Costos!$B$4,IF(F172=1,#REF!*((Costos!G172/#REF!)^2)*#REF!*Costos!D172*Costos!$B$4,"error")))</f>
        <v>#REF!</v>
      </c>
      <c r="I172" s="9" t="e">
        <f>#REF!*#REF!*#REF!*1000</f>
        <v>#REF!</v>
      </c>
      <c r="J172" s="72" t="e">
        <f t="shared" si="2"/>
        <v>#REF!</v>
      </c>
      <c r="K172" s="72" t="e">
        <f>IF(#REF!&gt;57.5,#REF!,IF(#REF!&gt;29.99999999,#REF!,IF(#REF!&gt;0.9999999999,#REF!,IF(#REF!&gt;0.000000001,#REF!,"Error"))))</f>
        <v>#REF!</v>
      </c>
      <c r="L172" s="13" t="e">
        <f>IF(K172&gt;J172,(1+E172*0.04)*#REF!*D172,0)</f>
        <v>#REF!</v>
      </c>
      <c r="M172" s="13" t="e">
        <f>IF(K172&gt;J172,G172^2*#REF!*D172*$B$5,0)</f>
        <v>#REF!</v>
      </c>
    </row>
    <row r="173" spans="2:13" x14ac:dyDescent="0.25">
      <c r="B173" s="2">
        <v>8</v>
      </c>
      <c r="C173" s="2" t="e">
        <f>#REF!</f>
        <v>#REF!</v>
      </c>
      <c r="D173" s="12" t="e">
        <f>IF(B173=1,#REF!,IF(B173=2,#REF!,IF(B173=3,#REF!,IF(B173=4,#REF!,IF(B173=5,#REF!,IF(B173=6,#REF!,IF(B173=7,#REF!,IF(B173=8,#REF!, IF(B173=9,#REF!,IF(B173=10,#REF!,IF(B173=11,#REF!,”Error”)))))))))))</f>
        <v>#REF!</v>
      </c>
      <c r="E173" s="12" t="e">
        <f>IF(#REF!="Si",1,IF(#REF!="No",0))</f>
        <v>#REF!</v>
      </c>
      <c r="F173" s="12" t="e">
        <f>IF(#REF!="Trifásico",3,IF(#REF!="Monofásico trifilar",2,IF(#REF!="Monofásico bifilar",1)))</f>
        <v>#REF!</v>
      </c>
      <c r="G173" s="22" t="e">
        <f>IF(#REF!="Trifásico",(#REF!)/(SQRT(3)*#REF!),IF(#REF!="Monofásico trifilar",(#REF!)/(#REF!),IF(#REF!="Monofásico bifilar",(#REF!)/(#REF!))))*(1+#REF!)</f>
        <v>#REF!</v>
      </c>
      <c r="H173" s="9" t="e">
        <f>IF(F173=3,#REF!*3*((Costos!G173/#REF!)^2)*#REF!*Costos!D173*Costos!$B$4,IF(F173=2,#REF!*2*((Costos!G173/#REF!)^2)*#REF!*Costos!D173*Costos!$B$4,IF(F173=1,#REF!*((Costos!G173/#REF!)^2)*#REF!*Costos!D173*Costos!$B$4,"error")))</f>
        <v>#REF!</v>
      </c>
      <c r="I173" s="9" t="e">
        <f>#REF!*#REF!*#REF!*1000</f>
        <v>#REF!</v>
      </c>
      <c r="J173" s="72" t="e">
        <f t="shared" si="2"/>
        <v>#REF!</v>
      </c>
      <c r="K173" s="72" t="e">
        <f>IF(#REF!&gt;57.5,#REF!,IF(#REF!&gt;29.99999999,#REF!,IF(#REF!&gt;0.9999999999,#REF!,IF(#REF!&gt;0.000000001,#REF!,"Error"))))</f>
        <v>#REF!</v>
      </c>
      <c r="L173" s="13" t="e">
        <f>IF(K173&gt;J173,(1+E173*0.04)*#REF!*D173,0)</f>
        <v>#REF!</v>
      </c>
      <c r="M173" s="13" t="e">
        <f>IF(K173&gt;J173,G173^2*#REF!*D173*$B$5,0)</f>
        <v>#REF!</v>
      </c>
    </row>
    <row r="174" spans="2:13" x14ac:dyDescent="0.25">
      <c r="B174" s="2">
        <v>8</v>
      </c>
      <c r="C174" s="2" t="e">
        <f>#REF!</f>
        <v>#REF!</v>
      </c>
      <c r="D174" s="12" t="e">
        <f>IF(B174=1,#REF!,IF(B174=2,#REF!,IF(B174=3,#REF!,IF(B174=4,#REF!,IF(B174=5,#REF!,IF(B174=6,#REF!,IF(B174=7,#REF!,IF(B174=8,#REF!, IF(B174=9,#REF!,IF(B174=10,#REF!,IF(B174=11,#REF!,”Error”)))))))))))</f>
        <v>#REF!</v>
      </c>
      <c r="E174" s="12" t="e">
        <f>IF(#REF!="Si",1,IF(#REF!="No",0))</f>
        <v>#REF!</v>
      </c>
      <c r="F174" s="12" t="e">
        <f>IF(#REF!="Trifásico",3,IF(#REF!="Monofásico trifilar",2,IF(#REF!="Monofásico bifilar",1)))</f>
        <v>#REF!</v>
      </c>
      <c r="G174" s="22" t="e">
        <f>IF(#REF!="Trifásico",(#REF!)/(SQRT(3)*#REF!),IF(#REF!="Monofásico trifilar",(#REF!)/(#REF!),IF(#REF!="Monofásico bifilar",(#REF!)/(#REF!))))*(1+#REF!)</f>
        <v>#REF!</v>
      </c>
      <c r="H174" s="9" t="e">
        <f>IF(F174=3,#REF!*3*((Costos!G174/#REF!)^2)*#REF!*Costos!D174*Costos!$B$4,IF(F174=2,#REF!*2*((Costos!G174/#REF!)^2)*#REF!*Costos!D174*Costos!$B$4,IF(F174=1,#REF!*((Costos!G174/#REF!)^2)*#REF!*Costos!D174*Costos!$B$4,"error")))</f>
        <v>#REF!</v>
      </c>
      <c r="I174" s="9" t="e">
        <f>#REF!*#REF!*#REF!*1000</f>
        <v>#REF!</v>
      </c>
      <c r="J174" s="72" t="e">
        <f t="shared" si="2"/>
        <v>#REF!</v>
      </c>
      <c r="K174" s="72" t="e">
        <f>IF(#REF!&gt;57.5,#REF!,IF(#REF!&gt;29.99999999,#REF!,IF(#REF!&gt;0.9999999999,#REF!,IF(#REF!&gt;0.000000001,#REF!,"Error"))))</f>
        <v>#REF!</v>
      </c>
      <c r="L174" s="13" t="e">
        <f>IF(K174&gt;J174,(1+E174*0.04)*#REF!*D174,0)</f>
        <v>#REF!</v>
      </c>
      <c r="M174" s="13" t="e">
        <f>IF(K174&gt;J174,G174^2*#REF!*D174*$B$5,0)</f>
        <v>#REF!</v>
      </c>
    </row>
    <row r="175" spans="2:13" x14ac:dyDescent="0.25">
      <c r="B175" s="2">
        <v>8</v>
      </c>
      <c r="C175" s="2" t="e">
        <f>#REF!</f>
        <v>#REF!</v>
      </c>
      <c r="D175" s="12" t="e">
        <f>IF(B175=1,#REF!,IF(B175=2,#REF!,IF(B175=3,#REF!,IF(B175=4,#REF!,IF(B175=5,#REF!,IF(B175=6,#REF!,IF(B175=7,#REF!,IF(B175=8,#REF!, IF(B175=9,#REF!,IF(B175=10,#REF!,IF(B175=11,#REF!,”Error”)))))))))))</f>
        <v>#REF!</v>
      </c>
      <c r="E175" s="12" t="e">
        <f>IF(#REF!="Si",1,IF(#REF!="No",0))</f>
        <v>#REF!</v>
      </c>
      <c r="F175" s="12" t="e">
        <f>IF(#REF!="Trifásico",3,IF(#REF!="Monofásico trifilar",2,IF(#REF!="Monofásico bifilar",1)))</f>
        <v>#REF!</v>
      </c>
      <c r="G175" s="22" t="e">
        <f>IF(#REF!="Trifásico",(#REF!)/(SQRT(3)*#REF!),IF(#REF!="Monofásico trifilar",(#REF!)/(#REF!),IF(#REF!="Monofásico bifilar",(#REF!)/(#REF!))))*(1+#REF!)</f>
        <v>#REF!</v>
      </c>
      <c r="H175" s="9" t="e">
        <f>IF(F175=3,#REF!*3*((Costos!G175/#REF!)^2)*#REF!*Costos!D175*Costos!$B$4,IF(F175=2,#REF!*2*((Costos!G175/#REF!)^2)*#REF!*Costos!D175*Costos!$B$4,IF(F175=1,#REF!*((Costos!G175/#REF!)^2)*#REF!*Costos!D175*Costos!$B$4,"error")))</f>
        <v>#REF!</v>
      </c>
      <c r="I175" s="9" t="e">
        <f>#REF!*#REF!*#REF!*1000</f>
        <v>#REF!</v>
      </c>
      <c r="J175" s="72" t="e">
        <f t="shared" si="2"/>
        <v>#REF!</v>
      </c>
      <c r="K175" s="72" t="e">
        <f>IF(#REF!&gt;57.5,#REF!,IF(#REF!&gt;29.99999999,#REF!,IF(#REF!&gt;0.9999999999,#REF!,IF(#REF!&gt;0.000000001,#REF!,"Error"))))</f>
        <v>#REF!</v>
      </c>
      <c r="L175" s="13" t="e">
        <f>IF(K175&gt;J175,(1+E175*0.04)*#REF!*D175,0)</f>
        <v>#REF!</v>
      </c>
      <c r="M175" s="13" t="e">
        <f>IF(K175&gt;J175,G175^2*#REF!*D175*$B$5,0)</f>
        <v>#REF!</v>
      </c>
    </row>
    <row r="176" spans="2:13" x14ac:dyDescent="0.25">
      <c r="B176" s="2">
        <v>8</v>
      </c>
      <c r="C176" s="2" t="e">
        <f>#REF!</f>
        <v>#REF!</v>
      </c>
      <c r="D176" s="12" t="e">
        <f>IF(B176=1,#REF!,IF(B176=2,#REF!,IF(B176=3,#REF!,IF(B176=4,#REF!,IF(B176=5,#REF!,IF(B176=6,#REF!,IF(B176=7,#REF!,IF(B176=8,#REF!, IF(B176=9,#REF!,IF(B176=10,#REF!,IF(B176=11,#REF!,”Error”)))))))))))</f>
        <v>#REF!</v>
      </c>
      <c r="E176" s="12" t="e">
        <f>IF(#REF!="Si",1,IF(#REF!="No",0))</f>
        <v>#REF!</v>
      </c>
      <c r="F176" s="12" t="e">
        <f>IF(#REF!="Trifásico",3,IF(#REF!="Monofásico trifilar",2,IF(#REF!="Monofásico bifilar",1)))</f>
        <v>#REF!</v>
      </c>
      <c r="G176" s="22" t="e">
        <f>IF(#REF!="Trifásico",(#REF!)/(SQRT(3)*#REF!),IF(#REF!="Monofásico trifilar",(#REF!)/(#REF!),IF(#REF!="Monofásico bifilar",(#REF!)/(#REF!))))*(1+#REF!)</f>
        <v>#REF!</v>
      </c>
      <c r="H176" s="9" t="e">
        <f>IF(F176=3,#REF!*3*((Costos!G176/#REF!)^2)*#REF!*Costos!D176*Costos!$B$4,IF(F176=2,#REF!*2*((Costos!G176/#REF!)^2)*#REF!*Costos!D176*Costos!$B$4,IF(F176=1,#REF!*((Costos!G176/#REF!)^2)*#REF!*Costos!D176*Costos!$B$4,"error")))</f>
        <v>#REF!</v>
      </c>
      <c r="I176" s="9" t="e">
        <f>#REF!*#REF!*#REF!*1000</f>
        <v>#REF!</v>
      </c>
      <c r="J176" s="72" t="e">
        <f t="shared" si="2"/>
        <v>#REF!</v>
      </c>
      <c r="K176" s="72" t="e">
        <f>IF(#REF!&gt;57.5,#REF!,IF(#REF!&gt;29.99999999,#REF!,IF(#REF!&gt;0.9999999999,#REF!,IF(#REF!&gt;0.000000001,#REF!,"Error"))))</f>
        <v>#REF!</v>
      </c>
      <c r="L176" s="13" t="e">
        <f>IF(K176&gt;J176,(1+E176*0.04)*#REF!*D176,0)</f>
        <v>#REF!</v>
      </c>
      <c r="M176" s="13" t="e">
        <f>IF(K176&gt;J176,G176^2*#REF!*D176*$B$5,0)</f>
        <v>#REF!</v>
      </c>
    </row>
    <row r="177" spans="2:13" x14ac:dyDescent="0.25">
      <c r="B177" s="2">
        <v>8</v>
      </c>
      <c r="C177" s="2" t="e">
        <f>#REF!</f>
        <v>#REF!</v>
      </c>
      <c r="D177" s="12" t="e">
        <f>IF(B177=1,#REF!,IF(B177=2,#REF!,IF(B177=3,#REF!,IF(B177=4,#REF!,IF(B177=5,#REF!,IF(B177=6,#REF!,IF(B177=7,#REF!,IF(B177=8,#REF!, IF(B177=9,#REF!,IF(B177=10,#REF!,IF(B177=11,#REF!,”Error”)))))))))))</f>
        <v>#REF!</v>
      </c>
      <c r="E177" s="12" t="e">
        <f>IF(#REF!="Si",1,IF(#REF!="No",0))</f>
        <v>#REF!</v>
      </c>
      <c r="F177" s="12" t="e">
        <f>IF(#REF!="Trifásico",3,IF(#REF!="Monofásico trifilar",2,IF(#REF!="Monofásico bifilar",1)))</f>
        <v>#REF!</v>
      </c>
      <c r="G177" s="22" t="e">
        <f>IF(#REF!="Trifásico",(#REF!)/(SQRT(3)*#REF!),IF(#REF!="Monofásico trifilar",(#REF!)/(#REF!),IF(#REF!="Monofásico bifilar",(#REF!)/(#REF!))))*(1+#REF!)</f>
        <v>#REF!</v>
      </c>
      <c r="H177" s="9" t="e">
        <f>IF(F177=3,#REF!*3*((Costos!G177/#REF!)^2)*#REF!*Costos!D177*Costos!$B$4,IF(F177=2,#REF!*2*((Costos!G177/#REF!)^2)*#REF!*Costos!D177*Costos!$B$4,IF(F177=1,#REF!*((Costos!G177/#REF!)^2)*#REF!*Costos!D177*Costos!$B$4,"error")))</f>
        <v>#REF!</v>
      </c>
      <c r="I177" s="9" t="e">
        <f>#REF!*#REF!*#REF!*1000</f>
        <v>#REF!</v>
      </c>
      <c r="J177" s="72" t="e">
        <f t="shared" si="2"/>
        <v>#REF!</v>
      </c>
      <c r="K177" s="72" t="e">
        <f>IF(#REF!&gt;57.5,#REF!,IF(#REF!&gt;29.99999999,#REF!,IF(#REF!&gt;0.9999999999,#REF!,IF(#REF!&gt;0.000000001,#REF!,"Error"))))</f>
        <v>#REF!</v>
      </c>
      <c r="L177" s="13" t="e">
        <f>IF(K177&gt;J177,(1+E177*0.04)*#REF!*D177,0)</f>
        <v>#REF!</v>
      </c>
      <c r="M177" s="13" t="e">
        <f>IF(K177&gt;J177,G177^2*#REF!*D177*$B$5,0)</f>
        <v>#REF!</v>
      </c>
    </row>
    <row r="178" spans="2:13" x14ac:dyDescent="0.25">
      <c r="B178" s="2">
        <v>8</v>
      </c>
      <c r="C178" s="2" t="e">
        <f>#REF!</f>
        <v>#REF!</v>
      </c>
      <c r="D178" s="12" t="e">
        <f>IF(B178=1,#REF!,IF(B178=2,#REF!,IF(B178=3,#REF!,IF(B178=4,#REF!,IF(B178=5,#REF!,IF(B178=6,#REF!,IF(B178=7,#REF!,IF(B178=8,#REF!, IF(B178=9,#REF!,IF(B178=10,#REF!,IF(B178=11,#REF!,”Error”)))))))))))</f>
        <v>#REF!</v>
      </c>
      <c r="E178" s="12" t="e">
        <f>IF(#REF!="Si",1,IF(#REF!="No",0))</f>
        <v>#REF!</v>
      </c>
      <c r="F178" s="12" t="e">
        <f>IF(#REF!="Trifásico",3,IF(#REF!="Monofásico trifilar",2,IF(#REF!="Monofásico bifilar",1)))</f>
        <v>#REF!</v>
      </c>
      <c r="G178" s="22" t="e">
        <f>IF(#REF!="Trifásico",(#REF!)/(SQRT(3)*#REF!),IF(#REF!="Monofásico trifilar",(#REF!)/(#REF!),IF(#REF!="Monofásico bifilar",(#REF!)/(#REF!))))*(1+#REF!)</f>
        <v>#REF!</v>
      </c>
      <c r="H178" s="9" t="e">
        <f>IF(F178=3,#REF!*3*((Costos!G178/#REF!)^2)*#REF!*Costos!D178*Costos!$B$4,IF(F178=2,#REF!*2*((Costos!G178/#REF!)^2)*#REF!*Costos!D178*Costos!$B$4,IF(F178=1,#REF!*((Costos!G178/#REF!)^2)*#REF!*Costos!D178*Costos!$B$4,"error")))</f>
        <v>#REF!</v>
      </c>
      <c r="I178" s="9" t="e">
        <f>#REF!*#REF!*#REF!*1000</f>
        <v>#REF!</v>
      </c>
      <c r="J178" s="72" t="e">
        <f t="shared" si="2"/>
        <v>#REF!</v>
      </c>
      <c r="K178" s="72" t="e">
        <f>IF(#REF!&gt;57.5,#REF!,IF(#REF!&gt;29.99999999,#REF!,IF(#REF!&gt;0.9999999999,#REF!,IF(#REF!&gt;0.000000001,#REF!,"Error"))))</f>
        <v>#REF!</v>
      </c>
      <c r="L178" s="13" t="e">
        <f>IF(K178&gt;J178,(1+E178*0.04)*#REF!*D178,0)</f>
        <v>#REF!</v>
      </c>
      <c r="M178" s="13" t="e">
        <f>IF(K178&gt;J178,G178^2*#REF!*D178*$B$5,0)</f>
        <v>#REF!</v>
      </c>
    </row>
    <row r="179" spans="2:13" x14ac:dyDescent="0.25">
      <c r="B179" s="2">
        <v>8</v>
      </c>
      <c r="C179" s="2" t="e">
        <f>#REF!</f>
        <v>#REF!</v>
      </c>
      <c r="D179" s="12" t="e">
        <f>IF(B179=1,#REF!,IF(B179=2,#REF!,IF(B179=3,#REF!,IF(B179=4,#REF!,IF(B179=5,#REF!,IF(B179=6,#REF!,IF(B179=7,#REF!,IF(B179=8,#REF!, IF(B179=9,#REF!,IF(B179=10,#REF!,IF(B179=11,#REF!,”Error”)))))))))))</f>
        <v>#REF!</v>
      </c>
      <c r="E179" s="12" t="e">
        <f>IF(#REF!="Si",1,IF(#REF!="No",0))</f>
        <v>#REF!</v>
      </c>
      <c r="F179" s="12" t="e">
        <f>IF(#REF!="Trifásico",3,IF(#REF!="Monofásico trifilar",2,IF(#REF!="Monofásico bifilar",1)))</f>
        <v>#REF!</v>
      </c>
      <c r="G179" s="22" t="e">
        <f>IF(#REF!="Trifásico",(#REF!)/(SQRT(3)*#REF!),IF(#REF!="Monofásico trifilar",(#REF!)/(#REF!),IF(#REF!="Monofásico bifilar",(#REF!)/(#REF!))))*(1+#REF!)</f>
        <v>#REF!</v>
      </c>
      <c r="H179" s="9" t="e">
        <f>IF(F179=3,#REF!*3*((Costos!G179/#REF!)^2)*#REF!*Costos!D179*Costos!$B$4,IF(F179=2,#REF!*2*((Costos!G179/#REF!)^2)*#REF!*Costos!D179*Costos!$B$4,IF(F179=1,#REF!*((Costos!G179/#REF!)^2)*#REF!*Costos!D179*Costos!$B$4,"error")))</f>
        <v>#REF!</v>
      </c>
      <c r="I179" s="9" t="e">
        <f>#REF!*#REF!*#REF!*1000</f>
        <v>#REF!</v>
      </c>
      <c r="J179" s="72" t="e">
        <f t="shared" si="2"/>
        <v>#REF!</v>
      </c>
      <c r="K179" s="72" t="e">
        <f>IF(#REF!&gt;57.5,#REF!,IF(#REF!&gt;29.99999999,#REF!,IF(#REF!&gt;0.9999999999,#REF!,IF(#REF!&gt;0.000000001,#REF!,"Error"))))</f>
        <v>#REF!</v>
      </c>
      <c r="L179" s="13" t="e">
        <f>IF(K179&gt;J179,(1+E179*0.04)*#REF!*D179,0)</f>
        <v>#REF!</v>
      </c>
      <c r="M179" s="13" t="e">
        <f>IF(K179&gt;J179,G179^2*#REF!*D179*$B$5,0)</f>
        <v>#REF!</v>
      </c>
    </row>
    <row r="180" spans="2:13" x14ac:dyDescent="0.25">
      <c r="B180" s="2">
        <v>8</v>
      </c>
      <c r="C180" s="2" t="e">
        <f>#REF!</f>
        <v>#REF!</v>
      </c>
      <c r="D180" s="12" t="e">
        <f>IF(B180=1,#REF!,IF(B180=2,#REF!,IF(B180=3,#REF!,IF(B180=4,#REF!,IF(B180=5,#REF!,IF(B180=6,#REF!,IF(B180=7,#REF!,IF(B180=8,#REF!, IF(B180=9,#REF!,IF(B180=10,#REF!,IF(B180=11,#REF!,”Error”)))))))))))</f>
        <v>#REF!</v>
      </c>
      <c r="E180" s="12" t="e">
        <f>IF(#REF!="Si",1,IF(#REF!="No",0))</f>
        <v>#REF!</v>
      </c>
      <c r="F180" s="12" t="e">
        <f>IF(#REF!="Trifásico",3,IF(#REF!="Monofásico trifilar",2,IF(#REF!="Monofásico bifilar",1)))</f>
        <v>#REF!</v>
      </c>
      <c r="G180" s="22" t="e">
        <f>IF(#REF!="Trifásico",(#REF!)/(SQRT(3)*#REF!),IF(#REF!="Monofásico trifilar",(#REF!)/(#REF!),IF(#REF!="Monofásico bifilar",(#REF!)/(#REF!))))*(1+#REF!)</f>
        <v>#REF!</v>
      </c>
      <c r="H180" s="9" t="e">
        <f>IF(F180=3,#REF!*3*((Costos!G180/#REF!)^2)*#REF!*Costos!D180*Costos!$B$4,IF(F180=2,#REF!*2*((Costos!G180/#REF!)^2)*#REF!*Costos!D180*Costos!$B$4,IF(F180=1,#REF!*((Costos!G180/#REF!)^2)*#REF!*Costos!D180*Costos!$B$4,"error")))</f>
        <v>#REF!</v>
      </c>
      <c r="I180" s="9" t="e">
        <f>#REF!*#REF!*#REF!*1000</f>
        <v>#REF!</v>
      </c>
      <c r="J180" s="72" t="e">
        <f t="shared" si="2"/>
        <v>#REF!</v>
      </c>
      <c r="K180" s="72" t="e">
        <f>IF(#REF!&gt;57.5,#REF!,IF(#REF!&gt;29.99999999,#REF!,IF(#REF!&gt;0.9999999999,#REF!,IF(#REF!&gt;0.000000001,#REF!,"Error"))))</f>
        <v>#REF!</v>
      </c>
      <c r="L180" s="13" t="e">
        <f>IF(K180&gt;J180,(1+E180*0.04)*#REF!*D180,0)</f>
        <v>#REF!</v>
      </c>
      <c r="M180" s="13" t="e">
        <f>IF(K180&gt;J180,G180^2*#REF!*D180*$B$5,0)</f>
        <v>#REF!</v>
      </c>
    </row>
    <row r="181" spans="2:13" x14ac:dyDescent="0.25">
      <c r="B181" s="2">
        <v>8</v>
      </c>
      <c r="C181" s="2" t="e">
        <f>#REF!</f>
        <v>#REF!</v>
      </c>
      <c r="D181" s="12" t="e">
        <f>IF(B181=1,#REF!,IF(B181=2,#REF!,IF(B181=3,#REF!,IF(B181=4,#REF!,IF(B181=5,#REF!,IF(B181=6,#REF!,IF(B181=7,#REF!,IF(B181=8,#REF!, IF(B181=9,#REF!,IF(B181=10,#REF!,IF(B181=11,#REF!,”Error”)))))))))))</f>
        <v>#REF!</v>
      </c>
      <c r="E181" s="12" t="e">
        <f>IF(#REF!="Si",1,IF(#REF!="No",0))</f>
        <v>#REF!</v>
      </c>
      <c r="F181" s="12" t="e">
        <f>IF(#REF!="Trifásico",3,IF(#REF!="Monofásico trifilar",2,IF(#REF!="Monofásico bifilar",1)))</f>
        <v>#REF!</v>
      </c>
      <c r="G181" s="22" t="e">
        <f>IF(#REF!="Trifásico",(#REF!)/(SQRT(3)*#REF!),IF(#REF!="Monofásico trifilar",(#REF!)/(#REF!),IF(#REF!="Monofásico bifilar",(#REF!)/(#REF!))))*(1+#REF!)</f>
        <v>#REF!</v>
      </c>
      <c r="H181" s="9" t="e">
        <f>IF(F181=3,#REF!*3*((Costos!G181/#REF!)^2)*#REF!*Costos!D181*Costos!$B$4,IF(F181=2,#REF!*2*((Costos!G181/#REF!)^2)*#REF!*Costos!D181*Costos!$B$4,IF(F181=1,#REF!*((Costos!G181/#REF!)^2)*#REF!*Costos!D181*Costos!$B$4,"error")))</f>
        <v>#REF!</v>
      </c>
      <c r="I181" s="9" t="e">
        <f>#REF!*#REF!*#REF!*1000</f>
        <v>#REF!</v>
      </c>
      <c r="J181" s="72" t="e">
        <f t="shared" si="2"/>
        <v>#REF!</v>
      </c>
      <c r="K181" s="72" t="e">
        <f>IF(#REF!&gt;57.5,#REF!,IF(#REF!&gt;29.99999999,#REF!,IF(#REF!&gt;0.9999999999,#REF!,IF(#REF!&gt;0.000000001,#REF!,"Error"))))</f>
        <v>#REF!</v>
      </c>
      <c r="L181" s="13" t="e">
        <f>IF(K181&gt;J181,(1+E181*0.04)*#REF!*D181,0)</f>
        <v>#REF!</v>
      </c>
      <c r="M181" s="13" t="e">
        <f>IF(K181&gt;J181,G181^2*#REF!*D181*$B$5,0)</f>
        <v>#REF!</v>
      </c>
    </row>
    <row r="182" spans="2:13" x14ac:dyDescent="0.25">
      <c r="B182" s="2">
        <v>8</v>
      </c>
      <c r="C182" s="2" t="e">
        <f>#REF!</f>
        <v>#REF!</v>
      </c>
      <c r="D182" s="12" t="e">
        <f>IF(B182=1,#REF!,IF(B182=2,#REF!,IF(B182=3,#REF!,IF(B182=4,#REF!,IF(B182=5,#REF!,IF(B182=6,#REF!,IF(B182=7,#REF!,IF(B182=8,#REF!, IF(B182=9,#REF!,IF(B182=10,#REF!,IF(B182=11,#REF!,”Error”)))))))))))</f>
        <v>#REF!</v>
      </c>
      <c r="E182" s="12" t="e">
        <f>IF(#REF!="Si",1,IF(#REF!="No",0))</f>
        <v>#REF!</v>
      </c>
      <c r="F182" s="12" t="e">
        <f>IF(#REF!="Trifásico",3,IF(#REF!="Monofásico trifilar",2,IF(#REF!="Monofásico bifilar",1)))</f>
        <v>#REF!</v>
      </c>
      <c r="G182" s="22" t="e">
        <f>IF(#REF!="Trifásico",(#REF!)/(SQRT(3)*#REF!),IF(#REF!="Monofásico trifilar",(#REF!)/(#REF!),IF(#REF!="Monofásico bifilar",(#REF!)/(#REF!))))*(1+#REF!)</f>
        <v>#REF!</v>
      </c>
      <c r="H182" s="9" t="e">
        <f>IF(F182=3,#REF!*3*((Costos!G182/#REF!)^2)*#REF!*Costos!D182*Costos!$B$4,IF(F182=2,#REF!*2*((Costos!G182/#REF!)^2)*#REF!*Costos!D182*Costos!$B$4,IF(F182=1,#REF!*((Costos!G182/#REF!)^2)*#REF!*Costos!D182*Costos!$B$4,"error")))</f>
        <v>#REF!</v>
      </c>
      <c r="I182" s="9" t="e">
        <f>#REF!*#REF!*#REF!*1000</f>
        <v>#REF!</v>
      </c>
      <c r="J182" s="72" t="e">
        <f t="shared" si="2"/>
        <v>#REF!</v>
      </c>
      <c r="K182" s="72" t="e">
        <f>IF(#REF!&gt;57.5,#REF!,IF(#REF!&gt;29.99999999,#REF!,IF(#REF!&gt;0.9999999999,#REF!,IF(#REF!&gt;0.000000001,#REF!,"Error"))))</f>
        <v>#REF!</v>
      </c>
      <c r="L182" s="13" t="e">
        <f>IF(K182&gt;J182,(1+E182*0.04)*#REF!*D182,0)</f>
        <v>#REF!</v>
      </c>
      <c r="M182" s="13" t="e">
        <f>IF(K182&gt;J182,G182^2*#REF!*D182*$B$5,0)</f>
        <v>#REF!</v>
      </c>
    </row>
    <row r="183" spans="2:13" x14ac:dyDescent="0.25">
      <c r="B183" s="2">
        <v>8</v>
      </c>
      <c r="C183" s="2" t="e">
        <f>#REF!</f>
        <v>#REF!</v>
      </c>
      <c r="D183" s="12" t="e">
        <f>IF(B183=1,#REF!,IF(B183=2,#REF!,IF(B183=3,#REF!,IF(B183=4,#REF!,IF(B183=5,#REF!,IF(B183=6,#REF!,IF(B183=7,#REF!,IF(B183=8,#REF!, IF(B183=9,#REF!,IF(B183=10,#REF!,IF(B183=11,#REF!,”Error”)))))))))))</f>
        <v>#REF!</v>
      </c>
      <c r="E183" s="12" t="e">
        <f>IF(#REF!="Si",1,IF(#REF!="No",0))</f>
        <v>#REF!</v>
      </c>
      <c r="F183" s="12" t="e">
        <f>IF(#REF!="Trifásico",3,IF(#REF!="Monofásico trifilar",2,IF(#REF!="Monofásico bifilar",1)))</f>
        <v>#REF!</v>
      </c>
      <c r="G183" s="22" t="e">
        <f>IF(#REF!="Trifásico",(#REF!)/(SQRT(3)*#REF!),IF(#REF!="Monofásico trifilar",(#REF!)/(#REF!),IF(#REF!="Monofásico bifilar",(#REF!)/(#REF!))))*(1+#REF!)</f>
        <v>#REF!</v>
      </c>
      <c r="H183" s="9" t="e">
        <f>IF(F183=3,#REF!*3*((Costos!G183/#REF!)^2)*#REF!*Costos!D183*Costos!$B$4,IF(F183=2,#REF!*2*((Costos!G183/#REF!)^2)*#REF!*Costos!D183*Costos!$B$4,IF(F183=1,#REF!*((Costos!G183/#REF!)^2)*#REF!*Costos!D183*Costos!$B$4,"error")))</f>
        <v>#REF!</v>
      </c>
      <c r="I183" s="9" t="e">
        <f>#REF!*#REF!*#REF!*1000</f>
        <v>#REF!</v>
      </c>
      <c r="J183" s="72" t="e">
        <f t="shared" si="2"/>
        <v>#REF!</v>
      </c>
      <c r="K183" s="72" t="e">
        <f>IF(#REF!&gt;57.5,#REF!,IF(#REF!&gt;29.99999999,#REF!,IF(#REF!&gt;0.9999999999,#REF!,IF(#REF!&gt;0.000000001,#REF!,"Error"))))</f>
        <v>#REF!</v>
      </c>
      <c r="L183" s="13" t="e">
        <f>IF(K183&gt;J183,(1+E183*0.04)*#REF!*D183,0)</f>
        <v>#REF!</v>
      </c>
      <c r="M183" s="13" t="e">
        <f>IF(K183&gt;J183,G183^2*#REF!*D183*$B$5,0)</f>
        <v>#REF!</v>
      </c>
    </row>
    <row r="184" spans="2:13" x14ac:dyDescent="0.25">
      <c r="B184" s="2">
        <v>8</v>
      </c>
      <c r="C184" s="2" t="e">
        <f>#REF!</f>
        <v>#REF!</v>
      </c>
      <c r="D184" s="12" t="e">
        <f>IF(B184=1,#REF!,IF(B184=2,#REF!,IF(B184=3,#REF!,IF(B184=4,#REF!,IF(B184=5,#REF!,IF(B184=6,#REF!,IF(B184=7,#REF!,IF(B184=8,#REF!, IF(B184=9,#REF!,IF(B184=10,#REF!,IF(B184=11,#REF!,”Error”)))))))))))</f>
        <v>#REF!</v>
      </c>
      <c r="E184" s="12" t="e">
        <f>IF(#REF!="Si",1,IF(#REF!="No",0))</f>
        <v>#REF!</v>
      </c>
      <c r="F184" s="12" t="e">
        <f>IF(#REF!="Trifásico",3,IF(#REF!="Monofásico trifilar",2,IF(#REF!="Monofásico bifilar",1)))</f>
        <v>#REF!</v>
      </c>
      <c r="G184" s="22" t="e">
        <f>IF(#REF!="Trifásico",(#REF!)/(SQRT(3)*#REF!),IF(#REF!="Monofásico trifilar",(#REF!)/(#REF!),IF(#REF!="Monofásico bifilar",(#REF!)/(#REF!))))*(1+#REF!)</f>
        <v>#REF!</v>
      </c>
      <c r="H184" s="9" t="e">
        <f>IF(F184=3,#REF!*3*((Costos!G184/#REF!)^2)*#REF!*Costos!D184*Costos!$B$4,IF(F184=2,#REF!*2*((Costos!G184/#REF!)^2)*#REF!*Costos!D184*Costos!$B$4,IF(F184=1,#REF!*((Costos!G184/#REF!)^2)*#REF!*Costos!D184*Costos!$B$4,"error")))</f>
        <v>#REF!</v>
      </c>
      <c r="I184" s="9" t="e">
        <f>#REF!*#REF!*#REF!*1000</f>
        <v>#REF!</v>
      </c>
      <c r="J184" s="72" t="e">
        <f t="shared" si="2"/>
        <v>#REF!</v>
      </c>
      <c r="K184" s="72" t="e">
        <f>IF(#REF!&gt;57.5,#REF!,IF(#REF!&gt;29.99999999,#REF!,IF(#REF!&gt;0.9999999999,#REF!,IF(#REF!&gt;0.000000001,#REF!,"Error"))))</f>
        <v>#REF!</v>
      </c>
      <c r="L184" s="13" t="e">
        <f>IF(K184&gt;J184,(1+E184*0.04)*#REF!*D184,0)</f>
        <v>#REF!</v>
      </c>
      <c r="M184" s="13" t="e">
        <f>IF(K184&gt;J184,G184^2*#REF!*D184*$B$5,0)</f>
        <v>#REF!</v>
      </c>
    </row>
    <row r="185" spans="2:13" x14ac:dyDescent="0.25">
      <c r="B185" s="2">
        <v>8</v>
      </c>
      <c r="C185" s="2" t="e">
        <f>#REF!</f>
        <v>#REF!</v>
      </c>
      <c r="D185" s="12" t="e">
        <f>IF(B185=1,#REF!,IF(B185=2,#REF!,IF(B185=3,#REF!,IF(B185=4,#REF!,IF(B185=5,#REF!,IF(B185=6,#REF!,IF(B185=7,#REF!,IF(B185=8,#REF!, IF(B185=9,#REF!,IF(B185=10,#REF!,IF(B185=11,#REF!,”Error”)))))))))))</f>
        <v>#REF!</v>
      </c>
      <c r="E185" s="12" t="e">
        <f>IF(#REF!="Si",1,IF(#REF!="No",0))</f>
        <v>#REF!</v>
      </c>
      <c r="F185" s="12" t="e">
        <f>IF(#REF!="Trifásico",3,IF(#REF!="Monofásico trifilar",2,IF(#REF!="Monofásico bifilar",1)))</f>
        <v>#REF!</v>
      </c>
      <c r="G185" s="22" t="e">
        <f>IF(#REF!="Trifásico",(#REF!)/(SQRT(3)*#REF!),IF(#REF!="Monofásico trifilar",(#REF!)/(#REF!),IF(#REF!="Monofásico bifilar",(#REF!)/(#REF!))))*(1+#REF!)</f>
        <v>#REF!</v>
      </c>
      <c r="H185" s="9" t="e">
        <f>IF(F185=3,#REF!*3*((Costos!G185/#REF!)^2)*#REF!*Costos!D185*Costos!$B$4,IF(F185=2,#REF!*2*((Costos!G185/#REF!)^2)*#REF!*Costos!D185*Costos!$B$4,IF(F185=1,#REF!*((Costos!G185/#REF!)^2)*#REF!*Costos!D185*Costos!$B$4,"error")))</f>
        <v>#REF!</v>
      </c>
      <c r="I185" s="9" t="e">
        <f>#REF!*#REF!*#REF!*1000</f>
        <v>#REF!</v>
      </c>
      <c r="J185" s="72" t="e">
        <f t="shared" si="2"/>
        <v>#REF!</v>
      </c>
      <c r="K185" s="72" t="e">
        <f>IF(#REF!&gt;57.5,#REF!,IF(#REF!&gt;29.99999999,#REF!,IF(#REF!&gt;0.9999999999,#REF!,IF(#REF!&gt;0.000000001,#REF!,"Error"))))</f>
        <v>#REF!</v>
      </c>
      <c r="L185" s="13" t="e">
        <f>IF(K185&gt;J185,(1+E185*0.04)*#REF!*D185,0)</f>
        <v>#REF!</v>
      </c>
      <c r="M185" s="13" t="e">
        <f>IF(K185&gt;J185,G185^2*#REF!*D185*$B$5,0)</f>
        <v>#REF!</v>
      </c>
    </row>
    <row r="186" spans="2:13" x14ac:dyDescent="0.25">
      <c r="B186" s="2">
        <v>8</v>
      </c>
      <c r="C186" s="2" t="e">
        <f>#REF!</f>
        <v>#REF!</v>
      </c>
      <c r="D186" s="12" t="e">
        <f>IF(B186=1,#REF!,IF(B186=2,#REF!,IF(B186=3,#REF!,IF(B186=4,#REF!,IF(B186=5,#REF!,IF(B186=6,#REF!,IF(B186=7,#REF!,IF(B186=8,#REF!, IF(B186=9,#REF!,IF(B186=10,#REF!,IF(B186=11,#REF!,”Error”)))))))))))</f>
        <v>#REF!</v>
      </c>
      <c r="E186" s="12" t="e">
        <f>IF(#REF!="Si",1,IF(#REF!="No",0))</f>
        <v>#REF!</v>
      </c>
      <c r="F186" s="12" t="e">
        <f>IF(#REF!="Trifásico",3,IF(#REF!="Monofásico trifilar",2,IF(#REF!="Monofásico bifilar",1)))</f>
        <v>#REF!</v>
      </c>
      <c r="G186" s="22" t="e">
        <f>IF(#REF!="Trifásico",(#REF!)/(SQRT(3)*#REF!),IF(#REF!="Monofásico trifilar",(#REF!)/(#REF!),IF(#REF!="Monofásico bifilar",(#REF!)/(#REF!))))*(1+#REF!)</f>
        <v>#REF!</v>
      </c>
      <c r="H186" s="9" t="e">
        <f>IF(F186=3,#REF!*3*((Costos!G186/#REF!)^2)*#REF!*Costos!D186*Costos!$B$4,IF(F186=2,#REF!*2*((Costos!G186/#REF!)^2)*#REF!*Costos!D186*Costos!$B$4,IF(F186=1,#REF!*((Costos!G186/#REF!)^2)*#REF!*Costos!D186*Costos!$B$4,"error")))</f>
        <v>#REF!</v>
      </c>
      <c r="I186" s="9" t="e">
        <f>#REF!*#REF!*#REF!*1000</f>
        <v>#REF!</v>
      </c>
      <c r="J186" s="72" t="e">
        <f t="shared" si="2"/>
        <v>#REF!</v>
      </c>
      <c r="K186" s="72" t="e">
        <f>IF(#REF!&gt;57.5,#REF!,IF(#REF!&gt;29.99999999,#REF!,IF(#REF!&gt;0.9999999999,#REF!,IF(#REF!&gt;0.000000001,#REF!,"Error"))))</f>
        <v>#REF!</v>
      </c>
      <c r="L186" s="13" t="e">
        <f>IF(K186&gt;J186,(1+E186*0.04)*#REF!*D186,0)</f>
        <v>#REF!</v>
      </c>
      <c r="M186" s="13" t="e">
        <f>IF(K186&gt;J186,G186^2*#REF!*D186*$B$5,0)</f>
        <v>#REF!</v>
      </c>
    </row>
    <row r="187" spans="2:13" x14ac:dyDescent="0.25">
      <c r="B187" s="2">
        <v>8</v>
      </c>
      <c r="C187" s="2" t="e">
        <f>#REF!</f>
        <v>#REF!</v>
      </c>
      <c r="D187" s="12" t="e">
        <f>IF(B187=1,#REF!,IF(B187=2,#REF!,IF(B187=3,#REF!,IF(B187=4,#REF!,IF(B187=5,#REF!,IF(B187=6,#REF!,IF(B187=7,#REF!,IF(B187=8,#REF!, IF(B187=9,#REF!,IF(B187=10,#REF!,IF(B187=11,#REF!,”Error”)))))))))))</f>
        <v>#REF!</v>
      </c>
      <c r="E187" s="12" t="e">
        <f>IF(#REF!="Si",1,IF(#REF!="No",0))</f>
        <v>#REF!</v>
      </c>
      <c r="F187" s="12" t="e">
        <f>IF(#REF!="Trifásico",3,IF(#REF!="Monofásico trifilar",2,IF(#REF!="Monofásico bifilar",1)))</f>
        <v>#REF!</v>
      </c>
      <c r="G187" s="22" t="e">
        <f>IF(#REF!="Trifásico",(#REF!)/(SQRT(3)*#REF!),IF(#REF!="Monofásico trifilar",(#REF!)/(#REF!),IF(#REF!="Monofásico bifilar",(#REF!)/(#REF!))))*(1+#REF!)</f>
        <v>#REF!</v>
      </c>
      <c r="H187" s="9" t="e">
        <f>IF(F187=3,#REF!*3*((Costos!G187/#REF!)^2)*#REF!*Costos!D187*Costos!$B$4,IF(F187=2,#REF!*2*((Costos!G187/#REF!)^2)*#REF!*Costos!D187*Costos!$B$4,IF(F187=1,#REF!*((Costos!G187/#REF!)^2)*#REF!*Costos!D187*Costos!$B$4,"error")))</f>
        <v>#REF!</v>
      </c>
      <c r="I187" s="9" t="e">
        <f>#REF!*#REF!*#REF!*1000</f>
        <v>#REF!</v>
      </c>
      <c r="J187" s="72" t="e">
        <f t="shared" si="2"/>
        <v>#REF!</v>
      </c>
      <c r="K187" s="72" t="e">
        <f>IF(#REF!&gt;57.5,#REF!,IF(#REF!&gt;29.99999999,#REF!,IF(#REF!&gt;0.9999999999,#REF!,IF(#REF!&gt;0.000000001,#REF!,"Error"))))</f>
        <v>#REF!</v>
      </c>
      <c r="L187" s="13" t="e">
        <f>IF(K187&gt;J187,(1+E187*0.04)*#REF!*D187,0)</f>
        <v>#REF!</v>
      </c>
      <c r="M187" s="13" t="e">
        <f>IF(K187&gt;J187,G187^2*#REF!*D187*$B$5,0)</f>
        <v>#REF!</v>
      </c>
    </row>
    <row r="188" spans="2:13" x14ac:dyDescent="0.25">
      <c r="B188" s="2">
        <v>8</v>
      </c>
      <c r="C188" s="2" t="e">
        <f>#REF!</f>
        <v>#REF!</v>
      </c>
      <c r="D188" s="12" t="e">
        <f>IF(B188=1,#REF!,IF(B188=2,#REF!,IF(B188=3,#REF!,IF(B188=4,#REF!,IF(B188=5,#REF!,IF(B188=6,#REF!,IF(B188=7,#REF!,IF(B188=8,#REF!, IF(B188=9,#REF!,IF(B188=10,#REF!,IF(B188=11,#REF!,”Error”)))))))))))</f>
        <v>#REF!</v>
      </c>
      <c r="E188" s="12" t="e">
        <f>IF(#REF!="Si",1,IF(#REF!="No",0))</f>
        <v>#REF!</v>
      </c>
      <c r="F188" s="12" t="e">
        <f>IF(#REF!="Trifásico",3,IF(#REF!="Monofásico trifilar",2,IF(#REF!="Monofásico bifilar",1)))</f>
        <v>#REF!</v>
      </c>
      <c r="G188" s="22" t="e">
        <f>IF(#REF!="Trifásico",(#REF!)/(SQRT(3)*#REF!),IF(#REF!="Monofásico trifilar",(#REF!)/(#REF!),IF(#REF!="Monofásico bifilar",(#REF!)/(#REF!))))*(1+#REF!)</f>
        <v>#REF!</v>
      </c>
      <c r="H188" s="9" t="e">
        <f>IF(F188=3,#REF!*3*((Costos!G188/#REF!)^2)*#REF!*Costos!D188*Costos!$B$4,IF(F188=2,#REF!*2*((Costos!G188/#REF!)^2)*#REF!*Costos!D188*Costos!$B$4,IF(F188=1,#REF!*((Costos!G188/#REF!)^2)*#REF!*Costos!D188*Costos!$B$4,"error")))</f>
        <v>#REF!</v>
      </c>
      <c r="I188" s="9" t="e">
        <f>#REF!*#REF!*#REF!*1000</f>
        <v>#REF!</v>
      </c>
      <c r="J188" s="72" t="e">
        <f t="shared" si="2"/>
        <v>#REF!</v>
      </c>
      <c r="K188" s="72" t="e">
        <f>IF(#REF!&gt;57.5,#REF!,IF(#REF!&gt;29.99999999,#REF!,IF(#REF!&gt;0.9999999999,#REF!,IF(#REF!&gt;0.000000001,#REF!,"Error"))))</f>
        <v>#REF!</v>
      </c>
      <c r="L188" s="13" t="e">
        <f>IF(K188&gt;J188,(1+E188*0.04)*#REF!*D188,0)</f>
        <v>#REF!</v>
      </c>
      <c r="M188" s="13" t="e">
        <f>IF(K188&gt;J188,G188^2*#REF!*D188*$B$5,0)</f>
        <v>#REF!</v>
      </c>
    </row>
    <row r="189" spans="2:13" x14ac:dyDescent="0.25">
      <c r="B189" s="2">
        <v>8</v>
      </c>
      <c r="C189" s="2" t="e">
        <f>#REF!</f>
        <v>#REF!</v>
      </c>
      <c r="D189" s="12" t="e">
        <f>IF(B189=1,#REF!,IF(B189=2,#REF!,IF(B189=3,#REF!,IF(B189=4,#REF!,IF(B189=5,#REF!,IF(B189=6,#REF!,IF(B189=7,#REF!,IF(B189=8,#REF!, IF(B189=9,#REF!,IF(B189=10,#REF!,IF(B189=11,#REF!,”Error”)))))))))))</f>
        <v>#REF!</v>
      </c>
      <c r="E189" s="12" t="e">
        <f>IF(#REF!="Si",1,IF(#REF!="No",0))</f>
        <v>#REF!</v>
      </c>
      <c r="F189" s="12" t="e">
        <f>IF(#REF!="Trifásico",3,IF(#REF!="Monofásico trifilar",2,IF(#REF!="Monofásico bifilar",1)))</f>
        <v>#REF!</v>
      </c>
      <c r="G189" s="22" t="e">
        <f>IF(#REF!="Trifásico",(#REF!)/(SQRT(3)*#REF!),IF(#REF!="Monofásico trifilar",(#REF!)/(#REF!),IF(#REF!="Monofásico bifilar",(#REF!)/(#REF!))))*(1+#REF!)</f>
        <v>#REF!</v>
      </c>
      <c r="H189" s="9" t="e">
        <f>IF(F189=3,#REF!*3*((Costos!G189/#REF!)^2)*#REF!*Costos!D189*Costos!$B$4,IF(F189=2,#REF!*2*((Costos!G189/#REF!)^2)*#REF!*Costos!D189*Costos!$B$4,IF(F189=1,#REF!*((Costos!G189/#REF!)^2)*#REF!*Costos!D189*Costos!$B$4,"error")))</f>
        <v>#REF!</v>
      </c>
      <c r="I189" s="9" t="e">
        <f>#REF!*#REF!*#REF!*1000</f>
        <v>#REF!</v>
      </c>
      <c r="J189" s="72" t="e">
        <f t="shared" si="2"/>
        <v>#REF!</v>
      </c>
      <c r="K189" s="72" t="e">
        <f>IF(#REF!&gt;57.5,#REF!,IF(#REF!&gt;29.99999999,#REF!,IF(#REF!&gt;0.9999999999,#REF!,IF(#REF!&gt;0.000000001,#REF!,"Error"))))</f>
        <v>#REF!</v>
      </c>
      <c r="L189" s="13" t="e">
        <f>IF(K189&gt;J189,(1+E189*0.04)*#REF!*D189,0)</f>
        <v>#REF!</v>
      </c>
      <c r="M189" s="13" t="e">
        <f>IF(K189&gt;J189,G189^2*#REF!*D189*$B$5,0)</f>
        <v>#REF!</v>
      </c>
    </row>
    <row r="190" spans="2:13" x14ac:dyDescent="0.25">
      <c r="B190" s="2">
        <v>8</v>
      </c>
      <c r="C190" s="2" t="e">
        <f>#REF!</f>
        <v>#REF!</v>
      </c>
      <c r="D190" s="12" t="e">
        <f>IF(B190=1,#REF!,IF(B190=2,#REF!,IF(B190=3,#REF!,IF(B190=4,#REF!,IF(B190=5,#REF!,IF(B190=6,#REF!,IF(B190=7,#REF!,IF(B190=8,#REF!, IF(B190=9,#REF!,IF(B190=10,#REF!,IF(B190=11,#REF!,”Error”)))))))))))</f>
        <v>#REF!</v>
      </c>
      <c r="E190" s="12" t="e">
        <f>IF(#REF!="Si",1,IF(#REF!="No",0))</f>
        <v>#REF!</v>
      </c>
      <c r="F190" s="12" t="e">
        <f>IF(#REF!="Trifásico",3,IF(#REF!="Monofásico trifilar",2,IF(#REF!="Monofásico bifilar",1)))</f>
        <v>#REF!</v>
      </c>
      <c r="G190" s="22" t="e">
        <f>IF(#REF!="Trifásico",(#REF!)/(SQRT(3)*#REF!),IF(#REF!="Monofásico trifilar",(#REF!)/(#REF!),IF(#REF!="Monofásico bifilar",(#REF!)/(#REF!))))*(1+#REF!)</f>
        <v>#REF!</v>
      </c>
      <c r="H190" s="9" t="e">
        <f>IF(F190=3,#REF!*3*((Costos!G190/#REF!)^2)*#REF!*Costos!D190*Costos!$B$4,IF(F190=2,#REF!*2*((Costos!G190/#REF!)^2)*#REF!*Costos!D190*Costos!$B$4,IF(F190=1,#REF!*((Costos!G190/#REF!)^2)*#REF!*Costos!D190*Costos!$B$4,"error")))</f>
        <v>#REF!</v>
      </c>
      <c r="I190" s="9" t="e">
        <f>#REF!*#REF!*#REF!*1000</f>
        <v>#REF!</v>
      </c>
      <c r="J190" s="72" t="e">
        <f t="shared" si="2"/>
        <v>#REF!</v>
      </c>
      <c r="K190" s="72" t="e">
        <f>IF(#REF!&gt;57.5,#REF!,IF(#REF!&gt;29.99999999,#REF!,IF(#REF!&gt;0.9999999999,#REF!,IF(#REF!&gt;0.000000001,#REF!,"Error"))))</f>
        <v>#REF!</v>
      </c>
      <c r="L190" s="13" t="e">
        <f>IF(K190&gt;J190,(1+E190*0.04)*#REF!*D190,0)</f>
        <v>#REF!</v>
      </c>
      <c r="M190" s="13" t="e">
        <f>IF(K190&gt;J190,G190^2*#REF!*D190*$B$5,0)</f>
        <v>#REF!</v>
      </c>
    </row>
    <row r="191" spans="2:13" x14ac:dyDescent="0.25">
      <c r="B191" s="2">
        <v>8</v>
      </c>
      <c r="C191" s="2" t="e">
        <f>#REF!</f>
        <v>#REF!</v>
      </c>
      <c r="D191" s="12" t="e">
        <f>IF(B191=1,#REF!,IF(B191=2,#REF!,IF(B191=3,#REF!,IF(B191=4,#REF!,IF(B191=5,#REF!,IF(B191=6,#REF!,IF(B191=7,#REF!,IF(B191=8,#REF!, IF(B191=9,#REF!,IF(B191=10,#REF!,IF(B191=11,#REF!,”Error”)))))))))))</f>
        <v>#REF!</v>
      </c>
      <c r="E191" s="12" t="e">
        <f>IF(#REF!="Si",1,IF(#REF!="No",0))</f>
        <v>#REF!</v>
      </c>
      <c r="F191" s="12" t="e">
        <f>IF(#REF!="Trifásico",3,IF(#REF!="Monofásico trifilar",2,IF(#REF!="Monofásico bifilar",1)))</f>
        <v>#REF!</v>
      </c>
      <c r="G191" s="22" t="e">
        <f>IF(#REF!="Trifásico",(#REF!)/(SQRT(3)*#REF!),IF(#REF!="Monofásico trifilar",(#REF!)/(#REF!),IF(#REF!="Monofásico bifilar",(#REF!)/(#REF!))))*(1+#REF!)</f>
        <v>#REF!</v>
      </c>
      <c r="H191" s="9" t="e">
        <f>IF(F191=3,#REF!*3*((Costos!G191/#REF!)^2)*#REF!*Costos!D191*Costos!$B$4,IF(F191=2,#REF!*2*((Costos!G191/#REF!)^2)*#REF!*Costos!D191*Costos!$B$4,IF(F191=1,#REF!*((Costos!G191/#REF!)^2)*#REF!*Costos!D191*Costos!$B$4,"error")))</f>
        <v>#REF!</v>
      </c>
      <c r="I191" s="9" t="e">
        <f>#REF!*#REF!*#REF!*1000</f>
        <v>#REF!</v>
      </c>
      <c r="J191" s="72" t="e">
        <f t="shared" si="2"/>
        <v>#REF!</v>
      </c>
      <c r="K191" s="72" t="e">
        <f>IF(#REF!&gt;57.5,#REF!,IF(#REF!&gt;29.99999999,#REF!,IF(#REF!&gt;0.9999999999,#REF!,IF(#REF!&gt;0.000000001,#REF!,"Error"))))</f>
        <v>#REF!</v>
      </c>
      <c r="L191" s="13" t="e">
        <f>IF(K191&gt;J191,(1+E191*0.04)*#REF!*D191,0)</f>
        <v>#REF!</v>
      </c>
      <c r="M191" s="13" t="e">
        <f>IF(K191&gt;J191,G191^2*#REF!*D191*$B$5,0)</f>
        <v>#REF!</v>
      </c>
    </row>
    <row r="192" spans="2:13" x14ac:dyDescent="0.25">
      <c r="B192" s="2">
        <v>9</v>
      </c>
      <c r="C192" s="2" t="e">
        <f>#REF!</f>
        <v>#REF!</v>
      </c>
      <c r="D192" s="12" t="e">
        <f>IF(B192=1,#REF!,IF(B192=2,#REF!,IF(B192=3,#REF!,IF(B192=4,#REF!,IF(B192=5,#REF!,IF(B192=6,#REF!,IF(B192=7,#REF!,IF(B192=8,#REF!, IF(B192=9,#REF!,IF(B192=10,#REF!,IF(B192=11,#REF!,”Error”)))))))))))</f>
        <v>#REF!</v>
      </c>
      <c r="E192" s="12" t="e">
        <f>IF(#REF!="Si",1,IF(#REF!="No",0))</f>
        <v>#REF!</v>
      </c>
      <c r="F192" s="12" t="e">
        <f>IF(#REF!="Trifásico",3,IF(#REF!="Monofásico trifilar",2,IF(#REF!="Monofásico bifilar",1)))</f>
        <v>#REF!</v>
      </c>
      <c r="G192" s="22" t="e">
        <f>IF(#REF!="Trifásico",(#REF!)/(SQRT(3)*#REF!),IF(#REF!="Monofásico trifilar",(#REF!)/(#REF!),IF(#REF!="Monofásico bifilar",(#REF!)/(#REF!))))*(1+#REF!)</f>
        <v>#REF!</v>
      </c>
      <c r="H192" s="9" t="e">
        <f>IF(F192=3,#REF!*3*((Costos!G192/#REF!)^2)*#REF!*Costos!D192*Costos!$B$4,IF(F192=2,#REF!*2*((Costos!G192/#REF!)^2)*#REF!*Costos!D192*Costos!$B$4,IF(F192=1,#REF!*((Costos!G192/#REF!)^2)*#REF!*Costos!D192*Costos!$B$4,"error")))</f>
        <v>#REF!</v>
      </c>
      <c r="I192" s="9" t="e">
        <f>#REF!*#REF!*#REF!*1000</f>
        <v>#REF!</v>
      </c>
      <c r="J192" s="72" t="e">
        <f t="shared" si="2"/>
        <v>#REF!</v>
      </c>
      <c r="K192" s="72" t="e">
        <f>IF(#REF!&gt;57.5,#REF!,IF(#REF!&gt;29.99999999,#REF!,IF(#REF!&gt;0.9999999999,#REF!,IF(#REF!&gt;0.000000001,#REF!,"Error"))))</f>
        <v>#REF!</v>
      </c>
      <c r="L192" s="13" t="e">
        <f>IF(K192&gt;J192,(1+E192*0.04)*#REF!*D192,0)</f>
        <v>#REF!</v>
      </c>
      <c r="M192" s="13" t="e">
        <f>IF(K192&gt;J192,G192^2*#REF!*D192*$B$5,0)</f>
        <v>#REF!</v>
      </c>
    </row>
    <row r="193" spans="2:13" x14ac:dyDescent="0.25">
      <c r="B193" s="2">
        <v>9</v>
      </c>
      <c r="C193" s="2" t="e">
        <f>#REF!</f>
        <v>#REF!</v>
      </c>
      <c r="D193" s="12" t="e">
        <f>IF(B193=1,#REF!,IF(B193=2,#REF!,IF(B193=3,#REF!,IF(B193=4,#REF!,IF(B193=5,#REF!,IF(B193=6,#REF!,IF(B193=7,#REF!,IF(B193=8,#REF!, IF(B193=9,#REF!,IF(B193=10,#REF!,IF(B193=11,#REF!,”Error”)))))))))))</f>
        <v>#REF!</v>
      </c>
      <c r="E193" s="12" t="e">
        <f>IF(#REF!="Si",1,IF(#REF!="No",0))</f>
        <v>#REF!</v>
      </c>
      <c r="F193" s="12" t="e">
        <f>IF(#REF!="Trifásico",3,IF(#REF!="Monofásico trifilar",2,IF(#REF!="Monofásico bifilar",1)))</f>
        <v>#REF!</v>
      </c>
      <c r="G193" s="22" t="e">
        <f>IF(#REF!="Trifásico",(#REF!)/(SQRT(3)*#REF!),IF(#REF!="Monofásico trifilar",(#REF!)/(#REF!),IF(#REF!="Monofásico bifilar",(#REF!)/(#REF!))))*(1+#REF!)</f>
        <v>#REF!</v>
      </c>
      <c r="H193" s="9" t="e">
        <f>IF(F193=3,#REF!*3*((Costos!G193/#REF!)^2)*#REF!*Costos!D193*Costos!$B$4,IF(F193=2,#REF!*2*((Costos!G193/#REF!)^2)*#REF!*Costos!D193*Costos!$B$4,IF(F193=1,#REF!*((Costos!G193/#REF!)^2)*#REF!*Costos!D193*Costos!$B$4,"error")))</f>
        <v>#REF!</v>
      </c>
      <c r="I193" s="9" t="e">
        <f>#REF!*#REF!*#REF!*1000</f>
        <v>#REF!</v>
      </c>
      <c r="J193" s="72" t="e">
        <f t="shared" si="2"/>
        <v>#REF!</v>
      </c>
      <c r="K193" s="72" t="e">
        <f>IF(#REF!&gt;57.5,#REF!,IF(#REF!&gt;29.99999999,#REF!,IF(#REF!&gt;0.9999999999,#REF!,IF(#REF!&gt;0.000000001,#REF!,"Error"))))</f>
        <v>#REF!</v>
      </c>
      <c r="L193" s="13" t="e">
        <f>IF(K193&gt;J193,(1+E193*0.04)*#REF!*D193,0)</f>
        <v>#REF!</v>
      </c>
      <c r="M193" s="13" t="e">
        <f>IF(K193&gt;J193,G193^2*#REF!*D193*$B$5,0)</f>
        <v>#REF!</v>
      </c>
    </row>
    <row r="194" spans="2:13" x14ac:dyDescent="0.25">
      <c r="B194" s="2">
        <v>9</v>
      </c>
      <c r="C194" s="2" t="e">
        <f>#REF!</f>
        <v>#REF!</v>
      </c>
      <c r="D194" s="12" t="e">
        <f>IF(B194=1,#REF!,IF(B194=2,#REF!,IF(B194=3,#REF!,IF(B194=4,#REF!,IF(B194=5,#REF!,IF(B194=6,#REF!,IF(B194=7,#REF!,IF(B194=8,#REF!, IF(B194=9,#REF!,IF(B194=10,#REF!,IF(B194=11,#REF!,”Error”)))))))))))</f>
        <v>#REF!</v>
      </c>
      <c r="E194" s="12" t="e">
        <f>IF(#REF!="Si",1,IF(#REF!="No",0))</f>
        <v>#REF!</v>
      </c>
      <c r="F194" s="12" t="e">
        <f>IF(#REF!="Trifásico",3,IF(#REF!="Monofásico trifilar",2,IF(#REF!="Monofásico bifilar",1)))</f>
        <v>#REF!</v>
      </c>
      <c r="G194" s="22" t="e">
        <f>IF(#REF!="Trifásico",(#REF!)/(SQRT(3)*#REF!),IF(#REF!="Monofásico trifilar",(#REF!)/(#REF!),IF(#REF!="Monofásico bifilar",(#REF!)/(#REF!))))*(1+#REF!)</f>
        <v>#REF!</v>
      </c>
      <c r="H194" s="9" t="e">
        <f>IF(F194=3,#REF!*3*((Costos!G194/#REF!)^2)*#REF!*Costos!D194*Costos!$B$4,IF(F194=2,#REF!*2*((Costos!G194/#REF!)^2)*#REF!*Costos!D194*Costos!$B$4,IF(F194=1,#REF!*((Costos!G194/#REF!)^2)*#REF!*Costos!D194*Costos!$B$4,"error")))</f>
        <v>#REF!</v>
      </c>
      <c r="I194" s="9" t="e">
        <f>#REF!*#REF!*#REF!*1000</f>
        <v>#REF!</v>
      </c>
      <c r="J194" s="72" t="e">
        <f t="shared" si="2"/>
        <v>#REF!</v>
      </c>
      <c r="K194" s="72" t="e">
        <f>IF(#REF!&gt;57.5,#REF!,IF(#REF!&gt;29.99999999,#REF!,IF(#REF!&gt;0.9999999999,#REF!,IF(#REF!&gt;0.000000001,#REF!,"Error"))))</f>
        <v>#REF!</v>
      </c>
      <c r="L194" s="13" t="e">
        <f>IF(K194&gt;J194,(1+E194*0.04)*#REF!*D194,0)</f>
        <v>#REF!</v>
      </c>
      <c r="M194" s="13" t="e">
        <f>IF(K194&gt;J194,G194^2*#REF!*D194*$B$5,0)</f>
        <v>#REF!</v>
      </c>
    </row>
    <row r="195" spans="2:13" x14ac:dyDescent="0.25">
      <c r="B195" s="2">
        <v>9</v>
      </c>
      <c r="C195" s="2" t="e">
        <f>#REF!</f>
        <v>#REF!</v>
      </c>
      <c r="D195" s="12" t="e">
        <f>IF(B195=1,#REF!,IF(B195=2,#REF!,IF(B195=3,#REF!,IF(B195=4,#REF!,IF(B195=5,#REF!,IF(B195=6,#REF!,IF(B195=7,#REF!,IF(B195=8,#REF!, IF(B195=9,#REF!,IF(B195=10,#REF!,IF(B195=11,#REF!,”Error”)))))))))))</f>
        <v>#REF!</v>
      </c>
      <c r="E195" s="12" t="e">
        <f>IF(#REF!="Si",1,IF(#REF!="No",0))</f>
        <v>#REF!</v>
      </c>
      <c r="F195" s="12" t="e">
        <f>IF(#REF!="Trifásico",3,IF(#REF!="Monofásico trifilar",2,IF(#REF!="Monofásico bifilar",1)))</f>
        <v>#REF!</v>
      </c>
      <c r="G195" s="22" t="e">
        <f>IF(#REF!="Trifásico",(#REF!)/(SQRT(3)*#REF!),IF(#REF!="Monofásico trifilar",(#REF!)/(#REF!),IF(#REF!="Monofásico bifilar",(#REF!)/(#REF!))))*(1+#REF!)</f>
        <v>#REF!</v>
      </c>
      <c r="H195" s="9" t="e">
        <f>IF(F195=3,#REF!*3*((Costos!G195/#REF!)^2)*#REF!*Costos!D195*Costos!$B$4,IF(F195=2,#REF!*2*((Costos!G195/#REF!)^2)*#REF!*Costos!D195*Costos!$B$4,IF(F195=1,#REF!*((Costos!G195/#REF!)^2)*#REF!*Costos!D195*Costos!$B$4,"error")))</f>
        <v>#REF!</v>
      </c>
      <c r="I195" s="9" t="e">
        <f>#REF!*#REF!*#REF!*1000</f>
        <v>#REF!</v>
      </c>
      <c r="J195" s="72" t="e">
        <f t="shared" si="2"/>
        <v>#REF!</v>
      </c>
      <c r="K195" s="72" t="e">
        <f>IF(#REF!&gt;57.5,#REF!,IF(#REF!&gt;29.99999999,#REF!,IF(#REF!&gt;0.9999999999,#REF!,IF(#REF!&gt;0.000000001,#REF!,"Error"))))</f>
        <v>#REF!</v>
      </c>
      <c r="L195" s="13" t="e">
        <f>IF(K195&gt;J195,(1+E195*0.04)*#REF!*D195,0)</f>
        <v>#REF!</v>
      </c>
      <c r="M195" s="13" t="e">
        <f>IF(K195&gt;J195,G195^2*#REF!*D195*$B$5,0)</f>
        <v>#REF!</v>
      </c>
    </row>
    <row r="196" spans="2:13" x14ac:dyDescent="0.25">
      <c r="B196" s="2">
        <v>9</v>
      </c>
      <c r="C196" s="2" t="e">
        <f>#REF!</f>
        <v>#REF!</v>
      </c>
      <c r="D196" s="12" t="e">
        <f>IF(B196=1,#REF!,IF(B196=2,#REF!,IF(B196=3,#REF!,IF(B196=4,#REF!,IF(B196=5,#REF!,IF(B196=6,#REF!,IF(B196=7,#REF!,IF(B196=8,#REF!, IF(B196=9,#REF!,IF(B196=10,#REF!,IF(B196=11,#REF!,”Error”)))))))))))</f>
        <v>#REF!</v>
      </c>
      <c r="E196" s="12" t="e">
        <f>IF(#REF!="Si",1,IF(#REF!="No",0))</f>
        <v>#REF!</v>
      </c>
      <c r="F196" s="12" t="e">
        <f>IF(#REF!="Trifásico",3,IF(#REF!="Monofásico trifilar",2,IF(#REF!="Monofásico bifilar",1)))</f>
        <v>#REF!</v>
      </c>
      <c r="G196" s="22" t="e">
        <f>IF(#REF!="Trifásico",(#REF!)/(SQRT(3)*#REF!),IF(#REF!="Monofásico trifilar",(#REF!)/(#REF!),IF(#REF!="Monofásico bifilar",(#REF!)/(#REF!))))*(1+#REF!)</f>
        <v>#REF!</v>
      </c>
      <c r="H196" s="9" t="e">
        <f>IF(F196=3,#REF!*3*((Costos!G196/#REF!)^2)*#REF!*Costos!D196*Costos!$B$4,IF(F196=2,#REF!*2*((Costos!G196/#REF!)^2)*#REF!*Costos!D196*Costos!$B$4,IF(F196=1,#REF!*((Costos!G196/#REF!)^2)*#REF!*Costos!D196*Costos!$B$4,"error")))</f>
        <v>#REF!</v>
      </c>
      <c r="I196" s="9" t="e">
        <f>#REF!*#REF!*#REF!*1000</f>
        <v>#REF!</v>
      </c>
      <c r="J196" s="72" t="e">
        <f t="shared" si="2"/>
        <v>#REF!</v>
      </c>
      <c r="K196" s="72" t="e">
        <f>IF(#REF!&gt;57.5,#REF!,IF(#REF!&gt;29.99999999,#REF!,IF(#REF!&gt;0.9999999999,#REF!,IF(#REF!&gt;0.000000001,#REF!,"Error"))))</f>
        <v>#REF!</v>
      </c>
      <c r="L196" s="13" t="e">
        <f>IF(K196&gt;J196,(1+E196*0.04)*#REF!*D196,0)</f>
        <v>#REF!</v>
      </c>
      <c r="M196" s="13" t="e">
        <f>IF(K196&gt;J196,G196^2*#REF!*D196*$B$5,0)</f>
        <v>#REF!</v>
      </c>
    </row>
    <row r="197" spans="2:13" x14ac:dyDescent="0.25">
      <c r="B197" s="2">
        <v>9</v>
      </c>
      <c r="C197" s="2" t="e">
        <f>#REF!</f>
        <v>#REF!</v>
      </c>
      <c r="D197" s="12" t="e">
        <f>IF(B197=1,#REF!,IF(B197=2,#REF!,IF(B197=3,#REF!,IF(B197=4,#REF!,IF(B197=5,#REF!,IF(B197=6,#REF!,IF(B197=7,#REF!,IF(B197=8,#REF!, IF(B197=9,#REF!,IF(B197=10,#REF!,IF(B197=11,#REF!,”Error”)))))))))))</f>
        <v>#REF!</v>
      </c>
      <c r="E197" s="12" t="e">
        <f>IF(#REF!="Si",1,IF(#REF!="No",0))</f>
        <v>#REF!</v>
      </c>
      <c r="F197" s="12" t="e">
        <f>IF(#REF!="Trifásico",3,IF(#REF!="Monofásico trifilar",2,IF(#REF!="Monofásico bifilar",1)))</f>
        <v>#REF!</v>
      </c>
      <c r="G197" s="22" t="e">
        <f>IF(#REF!="Trifásico",(#REF!)/(SQRT(3)*#REF!),IF(#REF!="Monofásico trifilar",(#REF!)/(#REF!),IF(#REF!="Monofásico bifilar",(#REF!)/(#REF!))))*(1+#REF!)</f>
        <v>#REF!</v>
      </c>
      <c r="H197" s="9" t="e">
        <f>IF(F197=3,#REF!*3*((Costos!G197/#REF!)^2)*#REF!*Costos!D197*Costos!$B$4,IF(F197=2,#REF!*2*((Costos!G197/#REF!)^2)*#REF!*Costos!D197*Costos!$B$4,IF(F197=1,#REF!*((Costos!G197/#REF!)^2)*#REF!*Costos!D197*Costos!$B$4,"error")))</f>
        <v>#REF!</v>
      </c>
      <c r="I197" s="9" t="e">
        <f>#REF!*#REF!*#REF!*1000</f>
        <v>#REF!</v>
      </c>
      <c r="J197" s="72" t="e">
        <f t="shared" si="2"/>
        <v>#REF!</v>
      </c>
      <c r="K197" s="72" t="e">
        <f>IF(#REF!&gt;57.5,#REF!,IF(#REF!&gt;29.99999999,#REF!,IF(#REF!&gt;0.9999999999,#REF!,IF(#REF!&gt;0.000000001,#REF!,"Error"))))</f>
        <v>#REF!</v>
      </c>
      <c r="L197" s="13" t="e">
        <f>IF(K197&gt;J197,(1+E197*0.04)*#REF!*D197,0)</f>
        <v>#REF!</v>
      </c>
      <c r="M197" s="13" t="e">
        <f>IF(K197&gt;J197,G197^2*#REF!*D197*$B$5,0)</f>
        <v>#REF!</v>
      </c>
    </row>
    <row r="198" spans="2:13" x14ac:dyDescent="0.25">
      <c r="B198" s="2">
        <v>9</v>
      </c>
      <c r="C198" s="2" t="e">
        <f>#REF!</f>
        <v>#REF!</v>
      </c>
      <c r="D198" s="12" t="e">
        <f>IF(B198=1,#REF!,IF(B198=2,#REF!,IF(B198=3,#REF!,IF(B198=4,#REF!,IF(B198=5,#REF!,IF(B198=6,#REF!,IF(B198=7,#REF!,IF(B198=8,#REF!, IF(B198=9,#REF!,IF(B198=10,#REF!,IF(B198=11,#REF!,”Error”)))))))))))</f>
        <v>#REF!</v>
      </c>
      <c r="E198" s="12" t="e">
        <f>IF(#REF!="Si",1,IF(#REF!="No",0))</f>
        <v>#REF!</v>
      </c>
      <c r="F198" s="12" t="e">
        <f>IF(#REF!="Trifásico",3,IF(#REF!="Monofásico trifilar",2,IF(#REF!="Monofásico bifilar",1)))</f>
        <v>#REF!</v>
      </c>
      <c r="G198" s="22" t="e">
        <f>IF(#REF!="Trifásico",(#REF!)/(SQRT(3)*#REF!),IF(#REF!="Monofásico trifilar",(#REF!)/(#REF!),IF(#REF!="Monofásico bifilar",(#REF!)/(#REF!))))*(1+#REF!)</f>
        <v>#REF!</v>
      </c>
      <c r="H198" s="9" t="e">
        <f>IF(F198=3,#REF!*3*((Costos!G198/#REF!)^2)*#REF!*Costos!D198*Costos!$B$4,IF(F198=2,#REF!*2*((Costos!G198/#REF!)^2)*#REF!*Costos!D198*Costos!$B$4,IF(F198=1,#REF!*((Costos!G198/#REF!)^2)*#REF!*Costos!D198*Costos!$B$4,"error")))</f>
        <v>#REF!</v>
      </c>
      <c r="I198" s="9" t="e">
        <f>#REF!*#REF!*#REF!*1000</f>
        <v>#REF!</v>
      </c>
      <c r="J198" s="72" t="e">
        <f t="shared" si="2"/>
        <v>#REF!</v>
      </c>
      <c r="K198" s="72" t="e">
        <f>IF(#REF!&gt;57.5,#REF!,IF(#REF!&gt;29.99999999,#REF!,IF(#REF!&gt;0.9999999999,#REF!,IF(#REF!&gt;0.000000001,#REF!,"Error"))))</f>
        <v>#REF!</v>
      </c>
      <c r="L198" s="13" t="e">
        <f>IF(K198&gt;J198,(1+E198*0.04)*#REF!*D198,0)</f>
        <v>#REF!</v>
      </c>
      <c r="M198" s="13" t="e">
        <f>IF(K198&gt;J198,G198^2*#REF!*D198*$B$5,0)</f>
        <v>#REF!</v>
      </c>
    </row>
    <row r="199" spans="2:13" x14ac:dyDescent="0.25">
      <c r="B199" s="2">
        <v>9</v>
      </c>
      <c r="C199" s="2" t="e">
        <f>#REF!</f>
        <v>#REF!</v>
      </c>
      <c r="D199" s="12" t="e">
        <f>IF(B199=1,#REF!,IF(B199=2,#REF!,IF(B199=3,#REF!,IF(B199=4,#REF!,IF(B199=5,#REF!,IF(B199=6,#REF!,IF(B199=7,#REF!,IF(B199=8,#REF!, IF(B199=9,#REF!,IF(B199=10,#REF!,IF(B199=11,#REF!,”Error”)))))))))))</f>
        <v>#REF!</v>
      </c>
      <c r="E199" s="12" t="e">
        <f>IF(#REF!="Si",1,IF(#REF!="No",0))</f>
        <v>#REF!</v>
      </c>
      <c r="F199" s="12" t="e">
        <f>IF(#REF!="Trifásico",3,IF(#REF!="Monofásico trifilar",2,IF(#REF!="Monofásico bifilar",1)))</f>
        <v>#REF!</v>
      </c>
      <c r="G199" s="22" t="e">
        <f>IF(#REF!="Trifásico",(#REF!)/(SQRT(3)*#REF!),IF(#REF!="Monofásico trifilar",(#REF!)/(#REF!),IF(#REF!="Monofásico bifilar",(#REF!)/(#REF!))))*(1+#REF!)</f>
        <v>#REF!</v>
      </c>
      <c r="H199" s="9" t="e">
        <f>IF(F199=3,#REF!*3*((Costos!G199/#REF!)^2)*#REF!*Costos!D199*Costos!$B$4,IF(F199=2,#REF!*2*((Costos!G199/#REF!)^2)*#REF!*Costos!D199*Costos!$B$4,IF(F199=1,#REF!*((Costos!G199/#REF!)^2)*#REF!*Costos!D199*Costos!$B$4,"error")))</f>
        <v>#REF!</v>
      </c>
      <c r="I199" s="9" t="e">
        <f>#REF!*#REF!*#REF!*1000</f>
        <v>#REF!</v>
      </c>
      <c r="J199" s="72" t="e">
        <f t="shared" si="2"/>
        <v>#REF!</v>
      </c>
      <c r="K199" s="72" t="e">
        <f>IF(#REF!&gt;57.5,#REF!,IF(#REF!&gt;29.99999999,#REF!,IF(#REF!&gt;0.9999999999,#REF!,IF(#REF!&gt;0.000000001,#REF!,"Error"))))</f>
        <v>#REF!</v>
      </c>
      <c r="L199" s="13" t="e">
        <f>IF(K199&gt;J199,(1+E199*0.04)*#REF!*D199,0)</f>
        <v>#REF!</v>
      </c>
      <c r="M199" s="13" t="e">
        <f>IF(K199&gt;J199,G199^2*#REF!*D199*$B$5,0)</f>
        <v>#REF!</v>
      </c>
    </row>
    <row r="200" spans="2:13" x14ac:dyDescent="0.25">
      <c r="B200" s="2">
        <v>9</v>
      </c>
      <c r="C200" s="2" t="e">
        <f>#REF!</f>
        <v>#REF!</v>
      </c>
      <c r="D200" s="12" t="e">
        <f>IF(B200=1,#REF!,IF(B200=2,#REF!,IF(B200=3,#REF!,IF(B200=4,#REF!,IF(B200=5,#REF!,IF(B200=6,#REF!,IF(B200=7,#REF!,IF(B200=8,#REF!, IF(B200=9,#REF!,IF(B200=10,#REF!,IF(B200=11,#REF!,”Error”)))))))))))</f>
        <v>#REF!</v>
      </c>
      <c r="E200" s="12" t="e">
        <f>IF(#REF!="Si",1,IF(#REF!="No",0))</f>
        <v>#REF!</v>
      </c>
      <c r="F200" s="12" t="e">
        <f>IF(#REF!="Trifásico",3,IF(#REF!="Monofásico trifilar",2,IF(#REF!="Monofásico bifilar",1)))</f>
        <v>#REF!</v>
      </c>
      <c r="G200" s="22" t="e">
        <f>IF(#REF!="Trifásico",(#REF!)/(SQRT(3)*#REF!),IF(#REF!="Monofásico trifilar",(#REF!)/(#REF!),IF(#REF!="Monofásico bifilar",(#REF!)/(#REF!))))*(1+#REF!)</f>
        <v>#REF!</v>
      </c>
      <c r="H200" s="9" t="e">
        <f>IF(F200=3,#REF!*3*((Costos!G200/#REF!)^2)*#REF!*Costos!D200*Costos!$B$4,IF(F200=2,#REF!*2*((Costos!G200/#REF!)^2)*#REF!*Costos!D200*Costos!$B$4,IF(F200=1,#REF!*((Costos!G200/#REF!)^2)*#REF!*Costos!D200*Costos!$B$4,"error")))</f>
        <v>#REF!</v>
      </c>
      <c r="I200" s="9" t="e">
        <f>#REF!*#REF!*#REF!*1000</f>
        <v>#REF!</v>
      </c>
      <c r="J200" s="72" t="e">
        <f t="shared" si="2"/>
        <v>#REF!</v>
      </c>
      <c r="K200" s="72" t="e">
        <f>IF(#REF!&gt;57.5,#REF!,IF(#REF!&gt;29.99999999,#REF!,IF(#REF!&gt;0.9999999999,#REF!,IF(#REF!&gt;0.000000001,#REF!,"Error"))))</f>
        <v>#REF!</v>
      </c>
      <c r="L200" s="13" t="e">
        <f>IF(K200&gt;J200,(1+E200*0.04)*#REF!*D200,0)</f>
        <v>#REF!</v>
      </c>
      <c r="M200" s="13" t="e">
        <f>IF(K200&gt;J200,G200^2*#REF!*D200*$B$5,0)</f>
        <v>#REF!</v>
      </c>
    </row>
    <row r="201" spans="2:13" x14ac:dyDescent="0.25">
      <c r="B201" s="2">
        <v>9</v>
      </c>
      <c r="C201" s="2" t="e">
        <f>#REF!</f>
        <v>#REF!</v>
      </c>
      <c r="D201" s="12" t="e">
        <f>IF(B201=1,#REF!,IF(B201=2,#REF!,IF(B201=3,#REF!,IF(B201=4,#REF!,IF(B201=5,#REF!,IF(B201=6,#REF!,IF(B201=7,#REF!,IF(B201=8,#REF!, IF(B201=9,#REF!,IF(B201=10,#REF!,IF(B201=11,#REF!,”Error”)))))))))))</f>
        <v>#REF!</v>
      </c>
      <c r="E201" s="12" t="e">
        <f>IF(#REF!="Si",1,IF(#REF!="No",0))</f>
        <v>#REF!</v>
      </c>
      <c r="F201" s="12" t="e">
        <f>IF(#REF!="Trifásico",3,IF(#REF!="Monofásico trifilar",2,IF(#REF!="Monofásico bifilar",1)))</f>
        <v>#REF!</v>
      </c>
      <c r="G201" s="22" t="e">
        <f>IF(#REF!="Trifásico",(#REF!)/(SQRT(3)*#REF!),IF(#REF!="Monofásico trifilar",(#REF!)/(#REF!),IF(#REF!="Monofásico bifilar",(#REF!)/(#REF!))))*(1+#REF!)</f>
        <v>#REF!</v>
      </c>
      <c r="H201" s="9" t="e">
        <f>IF(F201=3,#REF!*3*((Costos!G201/#REF!)^2)*#REF!*Costos!D201*Costos!$B$4,IF(F201=2,#REF!*2*((Costos!G201/#REF!)^2)*#REF!*Costos!D201*Costos!$B$4,IF(F201=1,#REF!*((Costos!G201/#REF!)^2)*#REF!*Costos!D201*Costos!$B$4,"error")))</f>
        <v>#REF!</v>
      </c>
      <c r="I201" s="9" t="e">
        <f>#REF!*#REF!*#REF!*1000</f>
        <v>#REF!</v>
      </c>
      <c r="J201" s="72" t="e">
        <f t="shared" ref="J201:J260" si="3">(H201)/I201</f>
        <v>#REF!</v>
      </c>
      <c r="K201" s="72" t="e">
        <f>IF(#REF!&gt;57.5,#REF!,IF(#REF!&gt;29.99999999,#REF!,IF(#REF!&gt;0.9999999999,#REF!,IF(#REF!&gt;0.000000001,#REF!,"Error"))))</f>
        <v>#REF!</v>
      </c>
      <c r="L201" s="13" t="e">
        <f>IF(K201&gt;J201,(1+E201*0.04)*#REF!*D201,0)</f>
        <v>#REF!</v>
      </c>
      <c r="M201" s="13" t="e">
        <f>IF(K201&gt;J201,G201^2*#REF!*D201*$B$5,0)</f>
        <v>#REF!</v>
      </c>
    </row>
    <row r="202" spans="2:13" x14ac:dyDescent="0.25">
      <c r="B202" s="2">
        <v>9</v>
      </c>
      <c r="C202" s="2" t="e">
        <f>#REF!</f>
        <v>#REF!</v>
      </c>
      <c r="D202" s="12" t="e">
        <f>IF(B202=1,#REF!,IF(B202=2,#REF!,IF(B202=3,#REF!,IF(B202=4,#REF!,IF(B202=5,#REF!,IF(B202=6,#REF!,IF(B202=7,#REF!,IF(B202=8,#REF!, IF(B202=9,#REF!,IF(B202=10,#REF!,IF(B202=11,#REF!,”Error”)))))))))))</f>
        <v>#REF!</v>
      </c>
      <c r="E202" s="12" t="e">
        <f>IF(#REF!="Si",1,IF(#REF!="No",0))</f>
        <v>#REF!</v>
      </c>
      <c r="F202" s="12" t="e">
        <f>IF(#REF!="Trifásico",3,IF(#REF!="Monofásico trifilar",2,IF(#REF!="Monofásico bifilar",1)))</f>
        <v>#REF!</v>
      </c>
      <c r="G202" s="22" t="e">
        <f>IF(#REF!="Trifásico",(#REF!)/(SQRT(3)*#REF!),IF(#REF!="Monofásico trifilar",(#REF!)/(#REF!),IF(#REF!="Monofásico bifilar",(#REF!)/(#REF!))))*(1+#REF!)</f>
        <v>#REF!</v>
      </c>
      <c r="H202" s="9" t="e">
        <f>IF(F202=3,#REF!*3*((Costos!G202/#REF!)^2)*#REF!*Costos!D202*Costos!$B$4,IF(F202=2,#REF!*2*((Costos!G202/#REF!)^2)*#REF!*Costos!D202*Costos!$B$4,IF(F202=1,#REF!*((Costos!G202/#REF!)^2)*#REF!*Costos!D202*Costos!$B$4,"error")))</f>
        <v>#REF!</v>
      </c>
      <c r="I202" s="9" t="e">
        <f>#REF!*#REF!*#REF!*1000</f>
        <v>#REF!</v>
      </c>
      <c r="J202" s="72" t="e">
        <f t="shared" si="3"/>
        <v>#REF!</v>
      </c>
      <c r="K202" s="72" t="e">
        <f>IF(#REF!&gt;57.5,#REF!,IF(#REF!&gt;29.99999999,#REF!,IF(#REF!&gt;0.9999999999,#REF!,IF(#REF!&gt;0.000000001,#REF!,"Error"))))</f>
        <v>#REF!</v>
      </c>
      <c r="L202" s="13" t="e">
        <f>IF(K202&gt;J202,(1+E202*0.04)*#REF!*D202,0)</f>
        <v>#REF!</v>
      </c>
      <c r="M202" s="13" t="e">
        <f>IF(K202&gt;J202,G202^2*#REF!*D202*$B$5,0)</f>
        <v>#REF!</v>
      </c>
    </row>
    <row r="203" spans="2:13" x14ac:dyDescent="0.25">
      <c r="B203" s="2">
        <v>9</v>
      </c>
      <c r="C203" s="2" t="e">
        <f>#REF!</f>
        <v>#REF!</v>
      </c>
      <c r="D203" s="12" t="e">
        <f>IF(B203=1,#REF!,IF(B203=2,#REF!,IF(B203=3,#REF!,IF(B203=4,#REF!,IF(B203=5,#REF!,IF(B203=6,#REF!,IF(B203=7,#REF!,IF(B203=8,#REF!, IF(B203=9,#REF!,IF(B203=10,#REF!,IF(B203=11,#REF!,”Error”)))))))))))</f>
        <v>#REF!</v>
      </c>
      <c r="E203" s="12" t="e">
        <f>IF(#REF!="Si",1,IF(#REF!="No",0))</f>
        <v>#REF!</v>
      </c>
      <c r="F203" s="12" t="e">
        <f>IF(#REF!="Trifásico",3,IF(#REF!="Monofásico trifilar",2,IF(#REF!="Monofásico bifilar",1)))</f>
        <v>#REF!</v>
      </c>
      <c r="G203" s="22" t="e">
        <f>IF(#REF!="Trifásico",(#REF!)/(SQRT(3)*#REF!),IF(#REF!="Monofásico trifilar",(#REF!)/(#REF!),IF(#REF!="Monofásico bifilar",(#REF!)/(#REF!))))*(1+#REF!)</f>
        <v>#REF!</v>
      </c>
      <c r="H203" s="9" t="e">
        <f>IF(F203=3,#REF!*3*((Costos!G203/#REF!)^2)*#REF!*Costos!D203*Costos!$B$4,IF(F203=2,#REF!*2*((Costos!G203/#REF!)^2)*#REF!*Costos!D203*Costos!$B$4,IF(F203=1,#REF!*((Costos!G203/#REF!)^2)*#REF!*Costos!D203*Costos!$B$4,"error")))</f>
        <v>#REF!</v>
      </c>
      <c r="I203" s="9" t="e">
        <f>#REF!*#REF!*#REF!*1000</f>
        <v>#REF!</v>
      </c>
      <c r="J203" s="72" t="e">
        <f t="shared" si="3"/>
        <v>#REF!</v>
      </c>
      <c r="K203" s="72" t="e">
        <f>IF(#REF!&gt;57.5,#REF!,IF(#REF!&gt;29.99999999,#REF!,IF(#REF!&gt;0.9999999999,#REF!,IF(#REF!&gt;0.000000001,#REF!,"Error"))))</f>
        <v>#REF!</v>
      </c>
      <c r="L203" s="13" t="e">
        <f>IF(K203&gt;J203,(1+E203*0.04)*#REF!*D203,0)</f>
        <v>#REF!</v>
      </c>
      <c r="M203" s="13" t="e">
        <f>IF(K203&gt;J203,G203^2*#REF!*D203*$B$5,0)</f>
        <v>#REF!</v>
      </c>
    </row>
    <row r="204" spans="2:13" x14ac:dyDescent="0.25">
      <c r="B204" s="2">
        <v>9</v>
      </c>
      <c r="C204" s="2" t="e">
        <f>#REF!</f>
        <v>#REF!</v>
      </c>
      <c r="D204" s="12" t="e">
        <f>IF(B204=1,#REF!,IF(B204=2,#REF!,IF(B204=3,#REF!,IF(B204=4,#REF!,IF(B204=5,#REF!,IF(B204=6,#REF!,IF(B204=7,#REF!,IF(B204=8,#REF!, IF(B204=9,#REF!,IF(B204=10,#REF!,IF(B204=11,#REF!,”Error”)))))))))))</f>
        <v>#REF!</v>
      </c>
      <c r="E204" s="12" t="e">
        <f>IF(#REF!="Si",1,IF(#REF!="No",0))</f>
        <v>#REF!</v>
      </c>
      <c r="F204" s="12" t="e">
        <f>IF(#REF!="Trifásico",3,IF(#REF!="Monofásico trifilar",2,IF(#REF!="Monofásico bifilar",1)))</f>
        <v>#REF!</v>
      </c>
      <c r="G204" s="22" t="e">
        <f>IF(#REF!="Trifásico",(#REF!)/(SQRT(3)*#REF!),IF(#REF!="Monofásico trifilar",(#REF!)/(#REF!),IF(#REF!="Monofásico bifilar",(#REF!)/(#REF!))))*(1+#REF!)</f>
        <v>#REF!</v>
      </c>
      <c r="H204" s="9" t="e">
        <f>IF(F204=3,#REF!*3*((Costos!G204/#REF!)^2)*#REF!*Costos!D204*Costos!$B$4,IF(F204=2,#REF!*2*((Costos!G204/#REF!)^2)*#REF!*Costos!D204*Costos!$B$4,IF(F204=1,#REF!*((Costos!G204/#REF!)^2)*#REF!*Costos!D204*Costos!$B$4,"error")))</f>
        <v>#REF!</v>
      </c>
      <c r="I204" s="9" t="e">
        <f>#REF!*#REF!*#REF!*1000</f>
        <v>#REF!</v>
      </c>
      <c r="J204" s="72" t="e">
        <f t="shared" si="3"/>
        <v>#REF!</v>
      </c>
      <c r="K204" s="72" t="e">
        <f>IF(#REF!&gt;57.5,#REF!,IF(#REF!&gt;29.99999999,#REF!,IF(#REF!&gt;0.9999999999,#REF!,IF(#REF!&gt;0.000000001,#REF!,"Error"))))</f>
        <v>#REF!</v>
      </c>
      <c r="L204" s="13" t="e">
        <f>IF(K204&gt;J204,(1+E204*0.04)*#REF!*D204,0)</f>
        <v>#REF!</v>
      </c>
      <c r="M204" s="13" t="e">
        <f>IF(K204&gt;J204,G204^2*#REF!*D204*$B$5,0)</f>
        <v>#REF!</v>
      </c>
    </row>
    <row r="205" spans="2:13" x14ac:dyDescent="0.25">
      <c r="B205" s="2">
        <v>9</v>
      </c>
      <c r="C205" s="2" t="e">
        <f>#REF!</f>
        <v>#REF!</v>
      </c>
      <c r="D205" s="12" t="e">
        <f>IF(B205=1,#REF!,IF(B205=2,#REF!,IF(B205=3,#REF!,IF(B205=4,#REF!,IF(B205=5,#REF!,IF(B205=6,#REF!,IF(B205=7,#REF!,IF(B205=8,#REF!, IF(B205=9,#REF!,IF(B205=10,#REF!,IF(B205=11,#REF!,”Error”)))))))))))</f>
        <v>#REF!</v>
      </c>
      <c r="E205" s="12" t="e">
        <f>IF(#REF!="Si",1,IF(#REF!="No",0))</f>
        <v>#REF!</v>
      </c>
      <c r="F205" s="12" t="e">
        <f>IF(#REF!="Trifásico",3,IF(#REF!="Monofásico trifilar",2,IF(#REF!="Monofásico bifilar",1)))</f>
        <v>#REF!</v>
      </c>
      <c r="G205" s="22" t="e">
        <f>IF(#REF!="Trifásico",(#REF!)/(SQRT(3)*#REF!),IF(#REF!="Monofásico trifilar",(#REF!)/(#REF!),IF(#REF!="Monofásico bifilar",(#REF!)/(#REF!))))*(1+#REF!)</f>
        <v>#REF!</v>
      </c>
      <c r="H205" s="9" t="e">
        <f>IF(F205=3,#REF!*3*((Costos!G205/#REF!)^2)*#REF!*Costos!D205*Costos!$B$4,IF(F205=2,#REF!*2*((Costos!G205/#REF!)^2)*#REF!*Costos!D205*Costos!$B$4,IF(F205=1,#REF!*((Costos!G205/#REF!)^2)*#REF!*Costos!D205*Costos!$B$4,"error")))</f>
        <v>#REF!</v>
      </c>
      <c r="I205" s="9" t="e">
        <f>#REF!*#REF!*#REF!*1000</f>
        <v>#REF!</v>
      </c>
      <c r="J205" s="72" t="e">
        <f t="shared" si="3"/>
        <v>#REF!</v>
      </c>
      <c r="K205" s="72" t="e">
        <f>IF(#REF!&gt;57.5,#REF!,IF(#REF!&gt;29.99999999,#REF!,IF(#REF!&gt;0.9999999999,#REF!,IF(#REF!&gt;0.000000001,#REF!,"Error"))))</f>
        <v>#REF!</v>
      </c>
      <c r="L205" s="13" t="e">
        <f>IF(K205&gt;J205,(1+E205*0.04)*#REF!*D205,0)</f>
        <v>#REF!</v>
      </c>
      <c r="M205" s="13" t="e">
        <f>IF(K205&gt;J205,G205^2*#REF!*D205*$B$5,0)</f>
        <v>#REF!</v>
      </c>
    </row>
    <row r="206" spans="2:13" x14ac:dyDescent="0.25">
      <c r="B206" s="2">
        <v>9</v>
      </c>
      <c r="C206" s="2" t="e">
        <f>#REF!</f>
        <v>#REF!</v>
      </c>
      <c r="D206" s="12" t="e">
        <f>IF(B206=1,#REF!,IF(B206=2,#REF!,IF(B206=3,#REF!,IF(B206=4,#REF!,IF(B206=5,#REF!,IF(B206=6,#REF!,IF(B206=7,#REF!,IF(B206=8,#REF!, IF(B206=9,#REF!,IF(B206=10,#REF!,IF(B206=11,#REF!,”Error”)))))))))))</f>
        <v>#REF!</v>
      </c>
      <c r="E206" s="12" t="e">
        <f>IF(#REF!="Si",1,IF(#REF!="No",0))</f>
        <v>#REF!</v>
      </c>
      <c r="F206" s="12" t="e">
        <f>IF(#REF!="Trifásico",3,IF(#REF!="Monofásico trifilar",2,IF(#REF!="Monofásico bifilar",1)))</f>
        <v>#REF!</v>
      </c>
      <c r="G206" s="22" t="e">
        <f>IF(#REF!="Trifásico",(#REF!)/(SQRT(3)*#REF!),IF(#REF!="Monofásico trifilar",(#REF!)/(#REF!),IF(#REF!="Monofásico bifilar",(#REF!)/(#REF!))))*(1+#REF!)</f>
        <v>#REF!</v>
      </c>
      <c r="H206" s="9" t="e">
        <f>IF(F206=3,#REF!*3*((Costos!G206/#REF!)^2)*#REF!*Costos!D206*Costos!$B$4,IF(F206=2,#REF!*2*((Costos!G206/#REF!)^2)*#REF!*Costos!D206*Costos!$B$4,IF(F206=1,#REF!*((Costos!G206/#REF!)^2)*#REF!*Costos!D206*Costos!$B$4,"error")))</f>
        <v>#REF!</v>
      </c>
      <c r="I206" s="9" t="e">
        <f>#REF!*#REF!*#REF!*1000</f>
        <v>#REF!</v>
      </c>
      <c r="J206" s="72" t="e">
        <f t="shared" si="3"/>
        <v>#REF!</v>
      </c>
      <c r="K206" s="72" t="e">
        <f>IF(#REF!&gt;57.5,#REF!,IF(#REF!&gt;29.99999999,#REF!,IF(#REF!&gt;0.9999999999,#REF!,IF(#REF!&gt;0.000000001,#REF!,"Error"))))</f>
        <v>#REF!</v>
      </c>
      <c r="L206" s="13" t="e">
        <f>IF(K206&gt;J206,(1+E206*0.04)*#REF!*D206,0)</f>
        <v>#REF!</v>
      </c>
      <c r="M206" s="13" t="e">
        <f>IF(K206&gt;J206,G206^2*#REF!*D206*$B$5,0)</f>
        <v>#REF!</v>
      </c>
    </row>
    <row r="207" spans="2:13" x14ac:dyDescent="0.25">
      <c r="B207" s="2">
        <v>9</v>
      </c>
      <c r="C207" s="2" t="e">
        <f>#REF!</f>
        <v>#REF!</v>
      </c>
      <c r="D207" s="12" t="e">
        <f>IF(B207=1,#REF!,IF(B207=2,#REF!,IF(B207=3,#REF!,IF(B207=4,#REF!,IF(B207=5,#REF!,IF(B207=6,#REF!,IF(B207=7,#REF!,IF(B207=8,#REF!, IF(B207=9,#REF!,IF(B207=10,#REF!,IF(B207=11,#REF!,”Error”)))))))))))</f>
        <v>#REF!</v>
      </c>
      <c r="E207" s="12" t="e">
        <f>IF(#REF!="Si",1,IF(#REF!="No",0))</f>
        <v>#REF!</v>
      </c>
      <c r="F207" s="12" t="e">
        <f>IF(#REF!="Trifásico",3,IF(#REF!="Monofásico trifilar",2,IF(#REF!="Monofásico bifilar",1)))</f>
        <v>#REF!</v>
      </c>
      <c r="G207" s="22" t="e">
        <f>IF(#REF!="Trifásico",(#REF!)/(SQRT(3)*#REF!),IF(#REF!="Monofásico trifilar",(#REF!)/(#REF!),IF(#REF!="Monofásico bifilar",(#REF!)/(#REF!))))*(1+#REF!)</f>
        <v>#REF!</v>
      </c>
      <c r="H207" s="9" t="e">
        <f>IF(F207=3,#REF!*3*((Costos!G207/#REF!)^2)*#REF!*Costos!D207*Costos!$B$4,IF(F207=2,#REF!*2*((Costos!G207/#REF!)^2)*#REF!*Costos!D207*Costos!$B$4,IF(F207=1,#REF!*((Costos!G207/#REF!)^2)*#REF!*Costos!D207*Costos!$B$4,"error")))</f>
        <v>#REF!</v>
      </c>
      <c r="I207" s="9" t="e">
        <f>#REF!*#REF!*#REF!*1000</f>
        <v>#REF!</v>
      </c>
      <c r="J207" s="72" t="e">
        <f t="shared" si="3"/>
        <v>#REF!</v>
      </c>
      <c r="K207" s="72" t="e">
        <f>IF(#REF!&gt;57.5,#REF!,IF(#REF!&gt;29.99999999,#REF!,IF(#REF!&gt;0.9999999999,#REF!,IF(#REF!&gt;0.000000001,#REF!,"Error"))))</f>
        <v>#REF!</v>
      </c>
      <c r="L207" s="13" t="e">
        <f>IF(K207&gt;J207,(1+E207*0.04)*#REF!*D207,0)</f>
        <v>#REF!</v>
      </c>
      <c r="M207" s="13" t="e">
        <f>IF(K207&gt;J207,G207^2*#REF!*D207*$B$5,0)</f>
        <v>#REF!</v>
      </c>
    </row>
    <row r="208" spans="2:13" x14ac:dyDescent="0.25">
      <c r="B208" s="2">
        <v>9</v>
      </c>
      <c r="C208" s="2" t="e">
        <f>#REF!</f>
        <v>#REF!</v>
      </c>
      <c r="D208" s="12" t="e">
        <f>IF(B208=1,#REF!,IF(B208=2,#REF!,IF(B208=3,#REF!,IF(B208=4,#REF!,IF(B208=5,#REF!,IF(B208=6,#REF!,IF(B208=7,#REF!,IF(B208=8,#REF!, IF(B208=9,#REF!,IF(B208=10,#REF!,IF(B208=11,#REF!,”Error”)))))))))))</f>
        <v>#REF!</v>
      </c>
      <c r="E208" s="12" t="e">
        <f>IF(#REF!="Si",1,IF(#REF!="No",0))</f>
        <v>#REF!</v>
      </c>
      <c r="F208" s="12" t="e">
        <f>IF(#REF!="Trifásico",3,IF(#REF!="Monofásico trifilar",2,IF(#REF!="Monofásico bifilar",1)))</f>
        <v>#REF!</v>
      </c>
      <c r="G208" s="22" t="e">
        <f>IF(#REF!="Trifásico",(#REF!)/(SQRT(3)*#REF!),IF(#REF!="Monofásico trifilar",(#REF!)/(#REF!),IF(#REF!="Monofásico bifilar",(#REF!)/(#REF!))))*(1+#REF!)</f>
        <v>#REF!</v>
      </c>
      <c r="H208" s="9" t="e">
        <f>IF(F208=3,#REF!*3*((Costos!G208/#REF!)^2)*#REF!*Costos!D208*Costos!$B$4,IF(F208=2,#REF!*2*((Costos!G208/#REF!)^2)*#REF!*Costos!D208*Costos!$B$4,IF(F208=1,#REF!*((Costos!G208/#REF!)^2)*#REF!*Costos!D208*Costos!$B$4,"error")))</f>
        <v>#REF!</v>
      </c>
      <c r="I208" s="9" t="e">
        <f>#REF!*#REF!*#REF!*1000</f>
        <v>#REF!</v>
      </c>
      <c r="J208" s="72" t="e">
        <f t="shared" si="3"/>
        <v>#REF!</v>
      </c>
      <c r="K208" s="72" t="e">
        <f>IF(#REF!&gt;57.5,#REF!,IF(#REF!&gt;29.99999999,#REF!,IF(#REF!&gt;0.9999999999,#REF!,IF(#REF!&gt;0.000000001,#REF!,"Error"))))</f>
        <v>#REF!</v>
      </c>
      <c r="L208" s="13" t="e">
        <f>IF(K208&gt;J208,(1+E208*0.04)*#REF!*D208,0)</f>
        <v>#REF!</v>
      </c>
      <c r="M208" s="13" t="e">
        <f>IF(K208&gt;J208,G208^2*#REF!*D208*$B$5,0)</f>
        <v>#REF!</v>
      </c>
    </row>
    <row r="209" spans="2:13" x14ac:dyDescent="0.25">
      <c r="B209" s="2">
        <v>9</v>
      </c>
      <c r="C209" s="2" t="e">
        <f>#REF!</f>
        <v>#REF!</v>
      </c>
      <c r="D209" s="12" t="e">
        <f>IF(B209=1,#REF!,IF(B209=2,#REF!,IF(B209=3,#REF!,IF(B209=4,#REF!,IF(B209=5,#REF!,IF(B209=6,#REF!,IF(B209=7,#REF!,IF(B209=8,#REF!, IF(B209=9,#REF!,IF(B209=10,#REF!,IF(B209=11,#REF!,”Error”)))))))))))</f>
        <v>#REF!</v>
      </c>
      <c r="E209" s="12" t="e">
        <f>IF(#REF!="Si",1,IF(#REF!="No",0))</f>
        <v>#REF!</v>
      </c>
      <c r="F209" s="12" t="e">
        <f>IF(#REF!="Trifásico",3,IF(#REF!="Monofásico trifilar",2,IF(#REF!="Monofásico bifilar",1)))</f>
        <v>#REF!</v>
      </c>
      <c r="G209" s="22" t="e">
        <f>IF(#REF!="Trifásico",(#REF!)/(SQRT(3)*#REF!),IF(#REF!="Monofásico trifilar",(#REF!)/(#REF!),IF(#REF!="Monofásico bifilar",(#REF!)/(#REF!))))*(1+#REF!)</f>
        <v>#REF!</v>
      </c>
      <c r="H209" s="9" t="e">
        <f>IF(F209=3,#REF!*3*((Costos!G209/#REF!)^2)*#REF!*Costos!D209*Costos!$B$4,IF(F209=2,#REF!*2*((Costos!G209/#REF!)^2)*#REF!*Costos!D209*Costos!$B$4,IF(F209=1,#REF!*((Costos!G209/#REF!)^2)*#REF!*Costos!D209*Costos!$B$4,"error")))</f>
        <v>#REF!</v>
      </c>
      <c r="I209" s="9" t="e">
        <f>#REF!*#REF!*#REF!*1000</f>
        <v>#REF!</v>
      </c>
      <c r="J209" s="72" t="e">
        <f t="shared" si="3"/>
        <v>#REF!</v>
      </c>
      <c r="K209" s="72" t="e">
        <f>IF(#REF!&gt;57.5,#REF!,IF(#REF!&gt;29.99999999,#REF!,IF(#REF!&gt;0.9999999999,#REF!,IF(#REF!&gt;0.000000001,#REF!,"Error"))))</f>
        <v>#REF!</v>
      </c>
      <c r="L209" s="13" t="e">
        <f>IF(K209&gt;J209,(1+E209*0.04)*#REF!*D209,0)</f>
        <v>#REF!</v>
      </c>
      <c r="M209" s="13" t="e">
        <f>IF(K209&gt;J209,G209^2*#REF!*D209*$B$5,0)</f>
        <v>#REF!</v>
      </c>
    </row>
    <row r="210" spans="2:13" x14ac:dyDescent="0.25">
      <c r="B210" s="2">
        <v>9</v>
      </c>
      <c r="C210" s="2" t="e">
        <f>#REF!</f>
        <v>#REF!</v>
      </c>
      <c r="D210" s="12" t="e">
        <f>IF(B210=1,#REF!,IF(B210=2,#REF!,IF(B210=3,#REF!,IF(B210=4,#REF!,IF(B210=5,#REF!,IF(B210=6,#REF!,IF(B210=7,#REF!,IF(B210=8,#REF!, IF(B210=9,#REF!,IF(B210=10,#REF!,IF(B210=11,#REF!,”Error”)))))))))))</f>
        <v>#REF!</v>
      </c>
      <c r="E210" s="12" t="e">
        <f>IF(#REF!="Si",1,IF(#REF!="No",0))</f>
        <v>#REF!</v>
      </c>
      <c r="F210" s="12" t="e">
        <f>IF(#REF!="Trifásico",3,IF(#REF!="Monofásico trifilar",2,IF(#REF!="Monofásico bifilar",1)))</f>
        <v>#REF!</v>
      </c>
      <c r="G210" s="22" t="e">
        <f>IF(#REF!="Trifásico",(#REF!)/(SQRT(3)*#REF!),IF(#REF!="Monofásico trifilar",(#REF!)/(#REF!),IF(#REF!="Monofásico bifilar",(#REF!)/(#REF!))))*(1+#REF!)</f>
        <v>#REF!</v>
      </c>
      <c r="H210" s="9" t="e">
        <f>IF(F210=3,#REF!*3*((Costos!G210/#REF!)^2)*#REF!*Costos!D210*Costos!$B$4,IF(F210=2,#REF!*2*((Costos!G210/#REF!)^2)*#REF!*Costos!D210*Costos!$B$4,IF(F210=1,#REF!*((Costos!G210/#REF!)^2)*#REF!*Costos!D210*Costos!$B$4,"error")))</f>
        <v>#REF!</v>
      </c>
      <c r="I210" s="9" t="e">
        <f>#REF!*#REF!*#REF!*1000</f>
        <v>#REF!</v>
      </c>
      <c r="J210" s="72" t="e">
        <f t="shared" si="3"/>
        <v>#REF!</v>
      </c>
      <c r="K210" s="72" t="e">
        <f>IF(#REF!&gt;57.5,#REF!,IF(#REF!&gt;29.99999999,#REF!,IF(#REF!&gt;0.9999999999,#REF!,IF(#REF!&gt;0.000000001,#REF!,"Error"))))</f>
        <v>#REF!</v>
      </c>
      <c r="L210" s="13" t="e">
        <f>IF(K210&gt;J210,(1+E210*0.04)*#REF!*D210,0)</f>
        <v>#REF!</v>
      </c>
      <c r="M210" s="13" t="e">
        <f>IF(K210&gt;J210,G210^2*#REF!*D210*$B$5,0)</f>
        <v>#REF!</v>
      </c>
    </row>
    <row r="211" spans="2:13" x14ac:dyDescent="0.25">
      <c r="B211" s="2">
        <v>9</v>
      </c>
      <c r="C211" s="2" t="e">
        <f>#REF!</f>
        <v>#REF!</v>
      </c>
      <c r="D211" s="12" t="e">
        <f>IF(B211=1,#REF!,IF(B211=2,#REF!,IF(B211=3,#REF!,IF(B211=4,#REF!,IF(B211=5,#REF!,IF(B211=6,#REF!,IF(B211=7,#REF!,IF(B211=8,#REF!, IF(B211=9,#REF!,IF(B211=10,#REF!,IF(B211=11,#REF!,”Error”)))))))))))</f>
        <v>#REF!</v>
      </c>
      <c r="E211" s="12" t="e">
        <f>IF(#REF!="Si",1,IF(#REF!="No",0))</f>
        <v>#REF!</v>
      </c>
      <c r="F211" s="12" t="e">
        <f>IF(#REF!="Trifásico",3,IF(#REF!="Monofásico trifilar",2,IF(#REF!="Monofásico bifilar",1)))</f>
        <v>#REF!</v>
      </c>
      <c r="G211" s="22" t="e">
        <f>IF(#REF!="Trifásico",(#REF!)/(SQRT(3)*#REF!),IF(#REF!="Monofásico trifilar",(#REF!)/(#REF!),IF(#REF!="Monofásico bifilar",(#REF!)/(#REF!))))*(1+#REF!)</f>
        <v>#REF!</v>
      </c>
      <c r="H211" s="9" t="e">
        <f>IF(F211=3,#REF!*3*((Costos!G211/#REF!)^2)*#REF!*Costos!D211*Costos!$B$4,IF(F211=2,#REF!*2*((Costos!G211/#REF!)^2)*#REF!*Costos!D211*Costos!$B$4,IF(F211=1,#REF!*((Costos!G211/#REF!)^2)*#REF!*Costos!D211*Costos!$B$4,"error")))</f>
        <v>#REF!</v>
      </c>
      <c r="I211" s="9" t="e">
        <f>#REF!*#REF!*#REF!*1000</f>
        <v>#REF!</v>
      </c>
      <c r="J211" s="72" t="e">
        <f t="shared" si="3"/>
        <v>#REF!</v>
      </c>
      <c r="K211" s="72" t="e">
        <f>IF(#REF!&gt;57.5,#REF!,IF(#REF!&gt;29.99999999,#REF!,IF(#REF!&gt;0.9999999999,#REF!,IF(#REF!&gt;0.000000001,#REF!,"Error"))))</f>
        <v>#REF!</v>
      </c>
      <c r="L211" s="13" t="e">
        <f>IF(K211&gt;J211,(1+E211*0.04)*#REF!*D211,0)</f>
        <v>#REF!</v>
      </c>
      <c r="M211" s="13" t="e">
        <f>IF(K211&gt;J211,G211^2*#REF!*D211*$B$5,0)</f>
        <v>#REF!</v>
      </c>
    </row>
    <row r="212" spans="2:13" x14ac:dyDescent="0.25">
      <c r="B212" s="2">
        <v>9</v>
      </c>
      <c r="C212" s="2" t="e">
        <f>#REF!</f>
        <v>#REF!</v>
      </c>
      <c r="D212" s="12" t="e">
        <f>IF(B212=1,#REF!,IF(B212=2,#REF!,IF(B212=3,#REF!,IF(B212=4,#REF!,IF(B212=5,#REF!,IF(B212=6,#REF!,IF(B212=7,#REF!,IF(B212=8,#REF!, IF(B212=9,#REF!,IF(B212=10,#REF!,IF(B212=11,#REF!,”Error”)))))))))))</f>
        <v>#REF!</v>
      </c>
      <c r="E212" s="12" t="e">
        <f>IF(#REF!="Si",1,IF(#REF!="No",0))</f>
        <v>#REF!</v>
      </c>
      <c r="F212" s="12" t="e">
        <f>IF(#REF!="Trifásico",3,IF(#REF!="Monofásico trifilar",2,IF(#REF!="Monofásico bifilar",1)))</f>
        <v>#REF!</v>
      </c>
      <c r="G212" s="22" t="e">
        <f>IF(#REF!="Trifásico",(#REF!)/(SQRT(3)*#REF!),IF(#REF!="Monofásico trifilar",(#REF!)/(#REF!),IF(#REF!="Monofásico bifilar",(#REF!)/(#REF!))))*(1+#REF!)</f>
        <v>#REF!</v>
      </c>
      <c r="H212" s="9" t="e">
        <f>IF(F212=3,#REF!*3*((Costos!G212/#REF!)^2)*#REF!*Costos!D212*Costos!$B$4,IF(F212=2,#REF!*2*((Costos!G212/#REF!)^2)*#REF!*Costos!D212*Costos!$B$4,IF(F212=1,#REF!*((Costos!G212/#REF!)^2)*#REF!*Costos!D212*Costos!$B$4,"error")))</f>
        <v>#REF!</v>
      </c>
      <c r="I212" s="9" t="e">
        <f>#REF!*#REF!*#REF!*1000</f>
        <v>#REF!</v>
      </c>
      <c r="J212" s="72" t="e">
        <f t="shared" si="3"/>
        <v>#REF!</v>
      </c>
      <c r="K212" s="72" t="e">
        <f>IF(#REF!&gt;57.5,#REF!,IF(#REF!&gt;29.99999999,#REF!,IF(#REF!&gt;0.9999999999,#REF!,IF(#REF!&gt;0.000000001,#REF!,"Error"))))</f>
        <v>#REF!</v>
      </c>
      <c r="L212" s="13" t="e">
        <f>IF(K212&gt;J212,(1+E212*0.04)*#REF!*D212,0)</f>
        <v>#REF!</v>
      </c>
      <c r="M212" s="13" t="e">
        <f>IF(K212&gt;J212,G212^2*#REF!*D212*$B$5,0)</f>
        <v>#REF!</v>
      </c>
    </row>
    <row r="213" spans="2:13" x14ac:dyDescent="0.25">
      <c r="B213" s="2">
        <v>9</v>
      </c>
      <c r="C213" s="2" t="e">
        <f>#REF!</f>
        <v>#REF!</v>
      </c>
      <c r="D213" s="12" t="e">
        <f>IF(B213=1,#REF!,IF(B213=2,#REF!,IF(B213=3,#REF!,IF(B213=4,#REF!,IF(B213=5,#REF!,IF(B213=6,#REF!,IF(B213=7,#REF!,IF(B213=8,#REF!, IF(B213=9,#REF!,IF(B213=10,#REF!,IF(B213=11,#REF!,”Error”)))))))))))</f>
        <v>#REF!</v>
      </c>
      <c r="E213" s="12" t="e">
        <f>IF(#REF!="Si",1,IF(#REF!="No",0))</f>
        <v>#REF!</v>
      </c>
      <c r="F213" s="12" t="e">
        <f>IF(#REF!="Trifásico",3,IF(#REF!="Monofásico trifilar",2,IF(#REF!="Monofásico bifilar",1)))</f>
        <v>#REF!</v>
      </c>
      <c r="G213" s="22" t="e">
        <f>IF(#REF!="Trifásico",(#REF!)/(SQRT(3)*#REF!),IF(#REF!="Monofásico trifilar",(#REF!)/(#REF!),IF(#REF!="Monofásico bifilar",(#REF!)/(#REF!))))*(1+#REF!)</f>
        <v>#REF!</v>
      </c>
      <c r="H213" s="9" t="e">
        <f>IF(F213=3,#REF!*3*((Costos!G213/#REF!)^2)*#REF!*Costos!D213*Costos!$B$4,IF(F213=2,#REF!*2*((Costos!G213/#REF!)^2)*#REF!*Costos!D213*Costos!$B$4,IF(F213=1,#REF!*((Costos!G213/#REF!)^2)*#REF!*Costos!D213*Costos!$B$4,"error")))</f>
        <v>#REF!</v>
      </c>
      <c r="I213" s="9" t="e">
        <f>#REF!*#REF!*#REF!*1000</f>
        <v>#REF!</v>
      </c>
      <c r="J213" s="72" t="e">
        <f t="shared" si="3"/>
        <v>#REF!</v>
      </c>
      <c r="K213" s="72" t="e">
        <f>IF(#REF!&gt;57.5,#REF!,IF(#REF!&gt;29.99999999,#REF!,IF(#REF!&gt;0.9999999999,#REF!,IF(#REF!&gt;0.000000001,#REF!,"Error"))))</f>
        <v>#REF!</v>
      </c>
      <c r="L213" s="13" t="e">
        <f>IF(K213&gt;J213,(1+E213*0.04)*#REF!*D213,0)</f>
        <v>#REF!</v>
      </c>
      <c r="M213" s="13" t="e">
        <f>IF(K213&gt;J213,G213^2*#REF!*D213*$B$5,0)</f>
        <v>#REF!</v>
      </c>
    </row>
    <row r="214" spans="2:13" x14ac:dyDescent="0.25">
      <c r="B214" s="2">
        <v>9</v>
      </c>
      <c r="C214" s="2" t="e">
        <f>#REF!</f>
        <v>#REF!</v>
      </c>
      <c r="D214" s="12" t="e">
        <f>IF(B214=1,#REF!,IF(B214=2,#REF!,IF(B214=3,#REF!,IF(B214=4,#REF!,IF(B214=5,#REF!,IF(B214=6,#REF!,IF(B214=7,#REF!,IF(B214=8,#REF!, IF(B214=9,#REF!,IF(B214=10,#REF!,IF(B214=11,#REF!,”Error”)))))))))))</f>
        <v>#REF!</v>
      </c>
      <c r="E214" s="12" t="e">
        <f>IF(#REF!="Si",1,IF(#REF!="No",0))</f>
        <v>#REF!</v>
      </c>
      <c r="F214" s="12" t="e">
        <f>IF(#REF!="Trifásico",3,IF(#REF!="Monofásico trifilar",2,IF(#REF!="Monofásico bifilar",1)))</f>
        <v>#REF!</v>
      </c>
      <c r="G214" s="22" t="e">
        <f>IF(#REF!="Trifásico",(#REF!)/(SQRT(3)*#REF!),IF(#REF!="Monofásico trifilar",(#REF!)/(#REF!),IF(#REF!="Monofásico bifilar",(#REF!)/(#REF!))))*(1+#REF!)</f>
        <v>#REF!</v>
      </c>
      <c r="H214" s="9" t="e">
        <f>IF(F214=3,#REF!*3*((Costos!G214/#REF!)^2)*#REF!*Costos!D214*Costos!$B$4,IF(F214=2,#REF!*2*((Costos!G214/#REF!)^2)*#REF!*Costos!D214*Costos!$B$4,IF(F214=1,#REF!*((Costos!G214/#REF!)^2)*#REF!*Costos!D214*Costos!$B$4,"error")))</f>
        <v>#REF!</v>
      </c>
      <c r="I214" s="9" t="e">
        <f>#REF!*#REF!*#REF!*1000</f>
        <v>#REF!</v>
      </c>
      <c r="J214" s="72" t="e">
        <f t="shared" si="3"/>
        <v>#REF!</v>
      </c>
      <c r="K214" s="72" t="e">
        <f>IF(#REF!&gt;57.5,#REF!,IF(#REF!&gt;29.99999999,#REF!,IF(#REF!&gt;0.9999999999,#REF!,IF(#REF!&gt;0.000000001,#REF!,"Error"))))</f>
        <v>#REF!</v>
      </c>
      <c r="L214" s="13" t="e">
        <f>IF(K214&gt;J214,(1+E214*0.04)*#REF!*D214,0)</f>
        <v>#REF!</v>
      </c>
      <c r="M214" s="13" t="e">
        <f>IF(K214&gt;J214,G214^2*#REF!*D214*$B$5,0)</f>
        <v>#REF!</v>
      </c>
    </row>
    <row r="215" spans="2:13" x14ac:dyDescent="0.25">
      <c r="B215" s="2">
        <v>10</v>
      </c>
      <c r="C215" s="2" t="e">
        <f>#REF!</f>
        <v>#REF!</v>
      </c>
      <c r="D215" s="12" t="e">
        <f>IF(B215=1,#REF!,IF(B215=2,#REF!,IF(B215=3,#REF!,IF(B215=4,#REF!,IF(B215=5,#REF!,IF(B215=6,#REF!,IF(B215=7,#REF!,IF(B215=8,#REF!, IF(B215=9,#REF!,IF(B215=10,#REF!,IF(B215=11,#REF!,”Error”)))))))))))</f>
        <v>#REF!</v>
      </c>
      <c r="E215" s="12" t="e">
        <f>IF(#REF!="Si",1,IF(#REF!="No",0))</f>
        <v>#REF!</v>
      </c>
      <c r="F215" s="12" t="e">
        <f>IF(#REF!="Trifásico",3,IF(#REF!="Monofásico trifilar",2,IF(#REF!="Monofásico bifilar",1)))</f>
        <v>#REF!</v>
      </c>
      <c r="G215" s="22" t="e">
        <f>IF(#REF!="Trifásico",(#REF!)/(SQRT(3)*#REF!),IF(#REF!="Monofásico trifilar",(#REF!)/(#REF!),IF(#REF!="Monofásico bifilar",(#REF!)/(#REF!))))*(1+#REF!)</f>
        <v>#REF!</v>
      </c>
      <c r="H215" s="9" t="e">
        <f>IF(F215=3,#REF!*3*((Costos!G215/#REF!)^2)*#REF!*Costos!D215*Costos!$B$4,IF(F215=2,#REF!*2*((Costos!G215/#REF!)^2)*#REF!*Costos!D215*Costos!$B$4,IF(F215=1,#REF!*((Costos!G215/#REF!)^2)*#REF!*Costos!D215*Costos!$B$4,"error")))</f>
        <v>#REF!</v>
      </c>
      <c r="I215" s="9" t="e">
        <f>#REF!*#REF!*#REF!*1000</f>
        <v>#REF!</v>
      </c>
      <c r="J215" s="72" t="e">
        <f t="shared" si="3"/>
        <v>#REF!</v>
      </c>
      <c r="K215" s="72" t="e">
        <f>IF(#REF!&gt;57.5,#REF!,IF(#REF!&gt;29.99999999,#REF!,IF(#REF!&gt;0.9999999999,#REF!,IF(#REF!&gt;0.000000001,#REF!,"Error"))))</f>
        <v>#REF!</v>
      </c>
      <c r="L215" s="13" t="e">
        <f>IF(K215&gt;J215,(1+E215*0.04)*#REF!*D215,0)</f>
        <v>#REF!</v>
      </c>
      <c r="M215" s="13" t="e">
        <f>IF(K215&gt;J215,G215^2*#REF!*D215*$B$5,0)</f>
        <v>#REF!</v>
      </c>
    </row>
    <row r="216" spans="2:13" x14ac:dyDescent="0.25">
      <c r="B216" s="2">
        <v>10</v>
      </c>
      <c r="C216" s="2" t="e">
        <f>#REF!</f>
        <v>#REF!</v>
      </c>
      <c r="D216" s="12" t="e">
        <f>IF(B216=1,#REF!,IF(B216=2,#REF!,IF(B216=3,#REF!,IF(B216=4,#REF!,IF(B216=5,#REF!,IF(B216=6,#REF!,IF(B216=7,#REF!,IF(B216=8,#REF!, IF(B216=9,#REF!,IF(B216=10,#REF!,IF(B216=11,#REF!,”Error”)))))))))))</f>
        <v>#REF!</v>
      </c>
      <c r="E216" s="12" t="e">
        <f>IF(#REF!="Si",1,IF(#REF!="No",0))</f>
        <v>#REF!</v>
      </c>
      <c r="F216" s="12" t="e">
        <f>IF(#REF!="Trifásico",3,IF(#REF!="Monofásico trifilar",2,IF(#REF!="Monofásico bifilar",1)))</f>
        <v>#REF!</v>
      </c>
      <c r="G216" s="22" t="e">
        <f>IF(#REF!="Trifásico",(#REF!)/(SQRT(3)*#REF!),IF(#REF!="Monofásico trifilar",(#REF!)/(#REF!),IF(#REF!="Monofásico bifilar",(#REF!)/(#REF!))))*(1+#REF!)</f>
        <v>#REF!</v>
      </c>
      <c r="H216" s="9" t="e">
        <f>IF(F216=3,#REF!*3*((Costos!G216/#REF!)^2)*#REF!*Costos!D216*Costos!$B$4,IF(F216=2,#REF!*2*((Costos!G216/#REF!)^2)*#REF!*Costos!D216*Costos!$B$4,IF(F216=1,#REF!*((Costos!G216/#REF!)^2)*#REF!*Costos!D216*Costos!$B$4,"error")))</f>
        <v>#REF!</v>
      </c>
      <c r="I216" s="9" t="e">
        <f>#REF!*#REF!*#REF!*1000</f>
        <v>#REF!</v>
      </c>
      <c r="J216" s="72" t="e">
        <f t="shared" si="3"/>
        <v>#REF!</v>
      </c>
      <c r="K216" s="72" t="e">
        <f>IF(#REF!&gt;57.5,#REF!,IF(#REF!&gt;29.99999999,#REF!,IF(#REF!&gt;0.9999999999,#REF!,IF(#REF!&gt;0.000000001,#REF!,"Error"))))</f>
        <v>#REF!</v>
      </c>
      <c r="L216" s="13" t="e">
        <f>IF(K216&gt;J216,(1+E216*0.04)*#REF!*D216,0)</f>
        <v>#REF!</v>
      </c>
      <c r="M216" s="13" t="e">
        <f>IF(K216&gt;J216,G216^2*#REF!*D216*$B$5,0)</f>
        <v>#REF!</v>
      </c>
    </row>
    <row r="217" spans="2:13" x14ac:dyDescent="0.25">
      <c r="B217" s="2">
        <v>10</v>
      </c>
      <c r="C217" s="2" t="e">
        <f>#REF!</f>
        <v>#REF!</v>
      </c>
      <c r="D217" s="12" t="e">
        <f>IF(B217=1,#REF!,IF(B217=2,#REF!,IF(B217=3,#REF!,IF(B217=4,#REF!,IF(B217=5,#REF!,IF(B217=6,#REF!,IF(B217=7,#REF!,IF(B217=8,#REF!, IF(B217=9,#REF!,IF(B217=10,#REF!,IF(B217=11,#REF!,”Error”)))))))))))</f>
        <v>#REF!</v>
      </c>
      <c r="E217" s="12" t="e">
        <f>IF(#REF!="Si",1,IF(#REF!="No",0))</f>
        <v>#REF!</v>
      </c>
      <c r="F217" s="12" t="e">
        <f>IF(#REF!="Trifásico",3,IF(#REF!="Monofásico trifilar",2,IF(#REF!="Monofásico bifilar",1)))</f>
        <v>#REF!</v>
      </c>
      <c r="G217" s="22" t="e">
        <f>IF(#REF!="Trifásico",(#REF!)/(SQRT(3)*#REF!),IF(#REF!="Monofásico trifilar",(#REF!)/(#REF!),IF(#REF!="Monofásico bifilar",(#REF!)/(#REF!))))*(1+#REF!)</f>
        <v>#REF!</v>
      </c>
      <c r="H217" s="9" t="e">
        <f>IF(F217=3,#REF!*3*((Costos!G217/#REF!)^2)*#REF!*Costos!D217*Costos!$B$4,IF(F217=2,#REF!*2*((Costos!G217/#REF!)^2)*#REF!*Costos!D217*Costos!$B$4,IF(F217=1,#REF!*((Costos!G217/#REF!)^2)*#REF!*Costos!D217*Costos!$B$4,"error")))</f>
        <v>#REF!</v>
      </c>
      <c r="I217" s="9" t="e">
        <f>#REF!*#REF!*#REF!*1000</f>
        <v>#REF!</v>
      </c>
      <c r="J217" s="72" t="e">
        <f t="shared" si="3"/>
        <v>#REF!</v>
      </c>
      <c r="K217" s="72" t="e">
        <f>IF(#REF!&gt;57.5,#REF!,IF(#REF!&gt;29.99999999,#REF!,IF(#REF!&gt;0.9999999999,#REF!,IF(#REF!&gt;0.000000001,#REF!,"Error"))))</f>
        <v>#REF!</v>
      </c>
      <c r="L217" s="13" t="e">
        <f>IF(K217&gt;J217,(1+E217*0.04)*#REF!*D217,0)</f>
        <v>#REF!</v>
      </c>
      <c r="M217" s="13" t="e">
        <f>IF(K217&gt;J217,G217^2*#REF!*D217*$B$5,0)</f>
        <v>#REF!</v>
      </c>
    </row>
    <row r="218" spans="2:13" x14ac:dyDescent="0.25">
      <c r="B218" s="2">
        <v>10</v>
      </c>
      <c r="C218" s="2" t="e">
        <f>#REF!</f>
        <v>#REF!</v>
      </c>
      <c r="D218" s="12" t="e">
        <f>IF(B218=1,#REF!,IF(B218=2,#REF!,IF(B218=3,#REF!,IF(B218=4,#REF!,IF(B218=5,#REF!,IF(B218=6,#REF!,IF(B218=7,#REF!,IF(B218=8,#REF!, IF(B218=9,#REF!,IF(B218=10,#REF!,IF(B218=11,#REF!,”Error”)))))))))))</f>
        <v>#REF!</v>
      </c>
      <c r="E218" s="12" t="e">
        <f>IF(#REF!="Si",1,IF(#REF!="No",0))</f>
        <v>#REF!</v>
      </c>
      <c r="F218" s="12" t="e">
        <f>IF(#REF!="Trifásico",3,IF(#REF!="Monofásico trifilar",2,IF(#REF!="Monofásico bifilar",1)))</f>
        <v>#REF!</v>
      </c>
      <c r="G218" s="22" t="e">
        <f>IF(#REF!="Trifásico",(#REF!)/(SQRT(3)*#REF!),IF(#REF!="Monofásico trifilar",(#REF!)/(#REF!),IF(#REF!="Monofásico bifilar",(#REF!)/(#REF!))))*(1+#REF!)</f>
        <v>#REF!</v>
      </c>
      <c r="H218" s="9" t="e">
        <f>IF(F218=3,#REF!*3*((Costos!G218/#REF!)^2)*#REF!*Costos!D218*Costos!$B$4,IF(F218=2,#REF!*2*((Costos!G218/#REF!)^2)*#REF!*Costos!D218*Costos!$B$4,IF(F218=1,#REF!*((Costos!G218/#REF!)^2)*#REF!*Costos!D218*Costos!$B$4,"error")))</f>
        <v>#REF!</v>
      </c>
      <c r="I218" s="9" t="e">
        <f>#REF!*#REF!*#REF!*1000</f>
        <v>#REF!</v>
      </c>
      <c r="J218" s="72" t="e">
        <f t="shared" si="3"/>
        <v>#REF!</v>
      </c>
      <c r="K218" s="72" t="e">
        <f>IF(#REF!&gt;57.5,#REF!,IF(#REF!&gt;29.99999999,#REF!,IF(#REF!&gt;0.9999999999,#REF!,IF(#REF!&gt;0.000000001,#REF!,"Error"))))</f>
        <v>#REF!</v>
      </c>
      <c r="L218" s="13" t="e">
        <f>IF(K218&gt;J218,(1+E218*0.04)*#REF!*D218,0)</f>
        <v>#REF!</v>
      </c>
      <c r="M218" s="13" t="e">
        <f>IF(K218&gt;J218,G218^2*#REF!*D218*$B$5,0)</f>
        <v>#REF!</v>
      </c>
    </row>
    <row r="219" spans="2:13" x14ac:dyDescent="0.25">
      <c r="B219" s="2">
        <v>10</v>
      </c>
      <c r="C219" s="2" t="e">
        <f>#REF!</f>
        <v>#REF!</v>
      </c>
      <c r="D219" s="12" t="e">
        <f>IF(B219=1,#REF!,IF(B219=2,#REF!,IF(B219=3,#REF!,IF(B219=4,#REF!,IF(B219=5,#REF!,IF(B219=6,#REF!,IF(B219=7,#REF!,IF(B219=8,#REF!, IF(B219=9,#REF!,IF(B219=10,#REF!,IF(B219=11,#REF!,”Error”)))))))))))</f>
        <v>#REF!</v>
      </c>
      <c r="E219" s="12" t="e">
        <f>IF(#REF!="Si",1,IF(#REF!="No",0))</f>
        <v>#REF!</v>
      </c>
      <c r="F219" s="12" t="e">
        <f>IF(#REF!="Trifásico",3,IF(#REF!="Monofásico trifilar",2,IF(#REF!="Monofásico bifilar",1)))</f>
        <v>#REF!</v>
      </c>
      <c r="G219" s="22" t="e">
        <f>IF(#REF!="Trifásico",(#REF!)/(SQRT(3)*#REF!),IF(#REF!="Monofásico trifilar",(#REF!)/(#REF!),IF(#REF!="Monofásico bifilar",(#REF!)/(#REF!))))*(1+#REF!)</f>
        <v>#REF!</v>
      </c>
      <c r="H219" s="9" t="e">
        <f>IF(F219=3,#REF!*3*((Costos!G219/#REF!)^2)*#REF!*Costos!D219*Costos!$B$4,IF(F219=2,#REF!*2*((Costos!G219/#REF!)^2)*#REF!*Costos!D219*Costos!$B$4,IF(F219=1,#REF!*((Costos!G219/#REF!)^2)*#REF!*Costos!D219*Costos!$B$4,"error")))</f>
        <v>#REF!</v>
      </c>
      <c r="I219" s="9" t="e">
        <f>#REF!*#REF!*#REF!*1000</f>
        <v>#REF!</v>
      </c>
      <c r="J219" s="72" t="e">
        <f t="shared" si="3"/>
        <v>#REF!</v>
      </c>
      <c r="K219" s="72" t="e">
        <f>IF(#REF!&gt;57.5,#REF!,IF(#REF!&gt;29.99999999,#REF!,IF(#REF!&gt;0.9999999999,#REF!,IF(#REF!&gt;0.000000001,#REF!,"Error"))))</f>
        <v>#REF!</v>
      </c>
      <c r="L219" s="13" t="e">
        <f>IF(K219&gt;J219,(1+E219*0.04)*#REF!*D219,0)</f>
        <v>#REF!</v>
      </c>
      <c r="M219" s="13" t="e">
        <f>IF(K219&gt;J219,G219^2*#REF!*D219*$B$5,0)</f>
        <v>#REF!</v>
      </c>
    </row>
    <row r="220" spans="2:13" x14ac:dyDescent="0.25">
      <c r="B220" s="2">
        <v>10</v>
      </c>
      <c r="C220" s="2" t="e">
        <f>#REF!</f>
        <v>#REF!</v>
      </c>
      <c r="D220" s="12" t="e">
        <f>IF(B220=1,#REF!,IF(B220=2,#REF!,IF(B220=3,#REF!,IF(B220=4,#REF!,IF(B220=5,#REF!,IF(B220=6,#REF!,IF(B220=7,#REF!,IF(B220=8,#REF!, IF(B220=9,#REF!,IF(B220=10,#REF!,IF(B220=11,#REF!,”Error”)))))))))))</f>
        <v>#REF!</v>
      </c>
      <c r="E220" s="12" t="e">
        <f>IF(#REF!="Si",1,IF(#REF!="No",0))</f>
        <v>#REF!</v>
      </c>
      <c r="F220" s="12" t="e">
        <f>IF(#REF!="Trifásico",3,IF(#REF!="Monofásico trifilar",2,IF(#REF!="Monofásico bifilar",1)))</f>
        <v>#REF!</v>
      </c>
      <c r="G220" s="22" t="e">
        <f>IF(#REF!="Trifásico",(#REF!)/(SQRT(3)*#REF!),IF(#REF!="Monofásico trifilar",(#REF!)/(#REF!),IF(#REF!="Monofásico bifilar",(#REF!)/(#REF!))))*(1+#REF!)</f>
        <v>#REF!</v>
      </c>
      <c r="H220" s="9" t="e">
        <f>IF(F220=3,#REF!*3*((Costos!G220/#REF!)^2)*#REF!*Costos!D220*Costos!$B$4,IF(F220=2,#REF!*2*((Costos!G220/#REF!)^2)*#REF!*Costos!D220*Costos!$B$4,IF(F220=1,#REF!*((Costos!G220/#REF!)^2)*#REF!*Costos!D220*Costos!$B$4,"error")))</f>
        <v>#REF!</v>
      </c>
      <c r="I220" s="9" t="e">
        <f>#REF!*#REF!*#REF!*1000</f>
        <v>#REF!</v>
      </c>
      <c r="J220" s="72" t="e">
        <f t="shared" si="3"/>
        <v>#REF!</v>
      </c>
      <c r="K220" s="72" t="e">
        <f>IF(#REF!&gt;57.5,#REF!,IF(#REF!&gt;29.99999999,#REF!,IF(#REF!&gt;0.9999999999,#REF!,IF(#REF!&gt;0.000000001,#REF!,"Error"))))</f>
        <v>#REF!</v>
      </c>
      <c r="L220" s="13" t="e">
        <f>IF(K220&gt;J220,(1+E220*0.04)*#REF!*D220,0)</f>
        <v>#REF!</v>
      </c>
      <c r="M220" s="13" t="e">
        <f>IF(K220&gt;J220,G220^2*#REF!*D220*$B$5,0)</f>
        <v>#REF!</v>
      </c>
    </row>
    <row r="221" spans="2:13" x14ac:dyDescent="0.25">
      <c r="B221" s="2">
        <v>10</v>
      </c>
      <c r="C221" s="2" t="e">
        <f>#REF!</f>
        <v>#REF!</v>
      </c>
      <c r="D221" s="12" t="e">
        <f>IF(B221=1,#REF!,IF(B221=2,#REF!,IF(B221=3,#REF!,IF(B221=4,#REF!,IF(B221=5,#REF!,IF(B221=6,#REF!,IF(B221=7,#REF!,IF(B221=8,#REF!, IF(B221=9,#REF!,IF(B221=10,#REF!,IF(B221=11,#REF!,”Error”)))))))))))</f>
        <v>#REF!</v>
      </c>
      <c r="E221" s="12" t="e">
        <f>IF(#REF!="Si",1,IF(#REF!="No",0))</f>
        <v>#REF!</v>
      </c>
      <c r="F221" s="12" t="e">
        <f>IF(#REF!="Trifásico",3,IF(#REF!="Monofásico trifilar",2,IF(#REF!="Monofásico bifilar",1)))</f>
        <v>#REF!</v>
      </c>
      <c r="G221" s="22" t="e">
        <f>IF(#REF!="Trifásico",(#REF!)/(SQRT(3)*#REF!),IF(#REF!="Monofásico trifilar",(#REF!)/(#REF!),IF(#REF!="Monofásico bifilar",(#REF!)/(#REF!))))*(1+#REF!)</f>
        <v>#REF!</v>
      </c>
      <c r="H221" s="9" t="e">
        <f>IF(F221=3,#REF!*3*((Costos!G221/#REF!)^2)*#REF!*Costos!D221*Costos!$B$4,IF(F221=2,#REF!*2*((Costos!G221/#REF!)^2)*#REF!*Costos!D221*Costos!$B$4,IF(F221=1,#REF!*((Costos!G221/#REF!)^2)*#REF!*Costos!D221*Costos!$B$4,"error")))</f>
        <v>#REF!</v>
      </c>
      <c r="I221" s="9" t="e">
        <f>#REF!*#REF!*#REF!*1000</f>
        <v>#REF!</v>
      </c>
      <c r="J221" s="72" t="e">
        <f t="shared" si="3"/>
        <v>#REF!</v>
      </c>
      <c r="K221" s="72" t="e">
        <f>IF(#REF!&gt;57.5,#REF!,IF(#REF!&gt;29.99999999,#REF!,IF(#REF!&gt;0.9999999999,#REF!,IF(#REF!&gt;0.000000001,#REF!,"Error"))))</f>
        <v>#REF!</v>
      </c>
      <c r="L221" s="13" t="e">
        <f>IF(K221&gt;J221,(1+E221*0.04)*#REF!*D221,0)</f>
        <v>#REF!</v>
      </c>
      <c r="M221" s="13" t="e">
        <f>IF(K221&gt;J221,G221^2*#REF!*D221*$B$5,0)</f>
        <v>#REF!</v>
      </c>
    </row>
    <row r="222" spans="2:13" x14ac:dyDescent="0.25">
      <c r="B222" s="2">
        <v>10</v>
      </c>
      <c r="C222" s="2" t="e">
        <f>#REF!</f>
        <v>#REF!</v>
      </c>
      <c r="D222" s="12" t="e">
        <f>IF(B222=1,#REF!,IF(B222=2,#REF!,IF(B222=3,#REF!,IF(B222=4,#REF!,IF(B222=5,#REF!,IF(B222=6,#REF!,IF(B222=7,#REF!,IF(B222=8,#REF!, IF(B222=9,#REF!,IF(B222=10,#REF!,IF(B222=11,#REF!,”Error”)))))))))))</f>
        <v>#REF!</v>
      </c>
      <c r="E222" s="12" t="e">
        <f>IF(#REF!="Si",1,IF(#REF!="No",0))</f>
        <v>#REF!</v>
      </c>
      <c r="F222" s="12" t="e">
        <f>IF(#REF!="Trifásico",3,IF(#REF!="Monofásico trifilar",2,IF(#REF!="Monofásico bifilar",1)))</f>
        <v>#REF!</v>
      </c>
      <c r="G222" s="22" t="e">
        <f>IF(#REF!="Trifásico",(#REF!)/(SQRT(3)*#REF!),IF(#REF!="Monofásico trifilar",(#REF!)/(#REF!),IF(#REF!="Monofásico bifilar",(#REF!)/(#REF!))))*(1+#REF!)</f>
        <v>#REF!</v>
      </c>
      <c r="H222" s="9" t="e">
        <f>IF(F222=3,#REF!*3*((Costos!G222/#REF!)^2)*#REF!*Costos!D222*Costos!$B$4,IF(F222=2,#REF!*2*((Costos!G222/#REF!)^2)*#REF!*Costos!D222*Costos!$B$4,IF(F222=1,#REF!*((Costos!G222/#REF!)^2)*#REF!*Costos!D222*Costos!$B$4,"error")))</f>
        <v>#REF!</v>
      </c>
      <c r="I222" s="9" t="e">
        <f>#REF!*#REF!*#REF!*1000</f>
        <v>#REF!</v>
      </c>
      <c r="J222" s="72" t="e">
        <f t="shared" si="3"/>
        <v>#REF!</v>
      </c>
      <c r="K222" s="72" t="e">
        <f>IF(#REF!&gt;57.5,#REF!,IF(#REF!&gt;29.99999999,#REF!,IF(#REF!&gt;0.9999999999,#REF!,IF(#REF!&gt;0.000000001,#REF!,"Error"))))</f>
        <v>#REF!</v>
      </c>
      <c r="L222" s="13" t="e">
        <f>IF(K222&gt;J222,(1+E222*0.04)*#REF!*D222,0)</f>
        <v>#REF!</v>
      </c>
      <c r="M222" s="13" t="e">
        <f>IF(K222&gt;J222,G222^2*#REF!*D222*$B$5,0)</f>
        <v>#REF!</v>
      </c>
    </row>
    <row r="223" spans="2:13" x14ac:dyDescent="0.25">
      <c r="B223" s="2">
        <v>10</v>
      </c>
      <c r="C223" s="2" t="e">
        <f>#REF!</f>
        <v>#REF!</v>
      </c>
      <c r="D223" s="12" t="e">
        <f>IF(B223=1,#REF!,IF(B223=2,#REF!,IF(B223=3,#REF!,IF(B223=4,#REF!,IF(B223=5,#REF!,IF(B223=6,#REF!,IF(B223=7,#REF!,IF(B223=8,#REF!, IF(B223=9,#REF!,IF(B223=10,#REF!,IF(B223=11,#REF!,”Error”)))))))))))</f>
        <v>#REF!</v>
      </c>
      <c r="E223" s="12" t="e">
        <f>IF(#REF!="Si",1,IF(#REF!="No",0))</f>
        <v>#REF!</v>
      </c>
      <c r="F223" s="12" t="e">
        <f>IF(#REF!="Trifásico",3,IF(#REF!="Monofásico trifilar",2,IF(#REF!="Monofásico bifilar",1)))</f>
        <v>#REF!</v>
      </c>
      <c r="G223" s="22" t="e">
        <f>IF(#REF!="Trifásico",(#REF!)/(SQRT(3)*#REF!),IF(#REF!="Monofásico trifilar",(#REF!)/(#REF!),IF(#REF!="Monofásico bifilar",(#REF!)/(#REF!))))*(1+#REF!)</f>
        <v>#REF!</v>
      </c>
      <c r="H223" s="9" t="e">
        <f>IF(F223=3,#REF!*3*((Costos!G223/#REF!)^2)*#REF!*Costos!D223*Costos!$B$4,IF(F223=2,#REF!*2*((Costos!G223/#REF!)^2)*#REF!*Costos!D223*Costos!$B$4,IF(F223=1,#REF!*((Costos!G223/#REF!)^2)*#REF!*Costos!D223*Costos!$B$4,"error")))</f>
        <v>#REF!</v>
      </c>
      <c r="I223" s="9" t="e">
        <f>#REF!*#REF!*#REF!*1000</f>
        <v>#REF!</v>
      </c>
      <c r="J223" s="72" t="e">
        <f t="shared" si="3"/>
        <v>#REF!</v>
      </c>
      <c r="K223" s="72" t="e">
        <f>IF(#REF!&gt;57.5,#REF!,IF(#REF!&gt;29.99999999,#REF!,IF(#REF!&gt;0.9999999999,#REF!,IF(#REF!&gt;0.000000001,#REF!,"Error"))))</f>
        <v>#REF!</v>
      </c>
      <c r="L223" s="13" t="e">
        <f>IF(K223&gt;J223,(1+E223*0.04)*#REF!*D223,0)</f>
        <v>#REF!</v>
      </c>
      <c r="M223" s="13" t="e">
        <f>IF(K223&gt;J223,G223^2*#REF!*D223*$B$5,0)</f>
        <v>#REF!</v>
      </c>
    </row>
    <row r="224" spans="2:13" x14ac:dyDescent="0.25">
      <c r="B224" s="2">
        <v>10</v>
      </c>
      <c r="C224" s="2" t="e">
        <f>#REF!</f>
        <v>#REF!</v>
      </c>
      <c r="D224" s="12" t="e">
        <f>IF(B224=1,#REF!,IF(B224=2,#REF!,IF(B224=3,#REF!,IF(B224=4,#REF!,IF(B224=5,#REF!,IF(B224=6,#REF!,IF(B224=7,#REF!,IF(B224=8,#REF!, IF(B224=9,#REF!,IF(B224=10,#REF!,IF(B224=11,#REF!,”Error”)))))))))))</f>
        <v>#REF!</v>
      </c>
      <c r="E224" s="12" t="e">
        <f>IF(#REF!="Si",1,IF(#REF!="No",0))</f>
        <v>#REF!</v>
      </c>
      <c r="F224" s="12" t="e">
        <f>IF(#REF!="Trifásico",3,IF(#REF!="Monofásico trifilar",2,IF(#REF!="Monofásico bifilar",1)))</f>
        <v>#REF!</v>
      </c>
      <c r="G224" s="22" t="e">
        <f>IF(#REF!="Trifásico",(#REF!)/(SQRT(3)*#REF!),IF(#REF!="Monofásico trifilar",(#REF!)/(#REF!),IF(#REF!="Monofásico bifilar",(#REF!)/(#REF!))))*(1+#REF!)</f>
        <v>#REF!</v>
      </c>
      <c r="H224" s="9" t="e">
        <f>IF(F224=3,#REF!*3*((Costos!G224/#REF!)^2)*#REF!*Costos!D224*Costos!$B$4,IF(F224=2,#REF!*2*((Costos!G224/#REF!)^2)*#REF!*Costos!D224*Costos!$B$4,IF(F224=1,#REF!*((Costos!G224/#REF!)^2)*#REF!*Costos!D224*Costos!$B$4,"error")))</f>
        <v>#REF!</v>
      </c>
      <c r="I224" s="9" t="e">
        <f>#REF!*#REF!*#REF!*1000</f>
        <v>#REF!</v>
      </c>
      <c r="J224" s="72" t="e">
        <f t="shared" si="3"/>
        <v>#REF!</v>
      </c>
      <c r="K224" s="72" t="e">
        <f>IF(#REF!&gt;57.5,#REF!,IF(#REF!&gt;29.99999999,#REF!,IF(#REF!&gt;0.9999999999,#REF!,IF(#REF!&gt;0.000000001,#REF!,"Error"))))</f>
        <v>#REF!</v>
      </c>
      <c r="L224" s="13" t="e">
        <f>IF(K224&gt;J224,(1+E224*0.04)*#REF!*D224,0)</f>
        <v>#REF!</v>
      </c>
      <c r="M224" s="13" t="e">
        <f>IF(K224&gt;J224,G224^2*#REF!*D224*$B$5,0)</f>
        <v>#REF!</v>
      </c>
    </row>
    <row r="225" spans="2:13" x14ac:dyDescent="0.25">
      <c r="B225" s="2">
        <v>10</v>
      </c>
      <c r="C225" s="2" t="e">
        <f>#REF!</f>
        <v>#REF!</v>
      </c>
      <c r="D225" s="12" t="e">
        <f>IF(B225=1,#REF!,IF(B225=2,#REF!,IF(B225=3,#REF!,IF(B225=4,#REF!,IF(B225=5,#REF!,IF(B225=6,#REF!,IF(B225=7,#REF!,IF(B225=8,#REF!, IF(B225=9,#REF!,IF(B225=10,#REF!,IF(B225=11,#REF!,”Error”)))))))))))</f>
        <v>#REF!</v>
      </c>
      <c r="E225" s="12" t="e">
        <f>IF(#REF!="Si",1,IF(#REF!="No",0))</f>
        <v>#REF!</v>
      </c>
      <c r="F225" s="12" t="e">
        <f>IF(#REF!="Trifásico",3,IF(#REF!="Monofásico trifilar",2,IF(#REF!="Monofásico bifilar",1)))</f>
        <v>#REF!</v>
      </c>
      <c r="G225" s="22" t="e">
        <f>IF(#REF!="Trifásico",(#REF!)/(SQRT(3)*#REF!),IF(#REF!="Monofásico trifilar",(#REF!)/(#REF!),IF(#REF!="Monofásico bifilar",(#REF!)/(#REF!))))*(1+#REF!)</f>
        <v>#REF!</v>
      </c>
      <c r="H225" s="9" t="e">
        <f>IF(F225=3,#REF!*3*((Costos!G225/#REF!)^2)*#REF!*Costos!D225*Costos!$B$4,IF(F225=2,#REF!*2*((Costos!G225/#REF!)^2)*#REF!*Costos!D225*Costos!$B$4,IF(F225=1,#REF!*((Costos!G225/#REF!)^2)*#REF!*Costos!D225*Costos!$B$4,"error")))</f>
        <v>#REF!</v>
      </c>
      <c r="I225" s="9" t="e">
        <f>#REF!*#REF!*#REF!*1000</f>
        <v>#REF!</v>
      </c>
      <c r="J225" s="72" t="e">
        <f t="shared" si="3"/>
        <v>#REF!</v>
      </c>
      <c r="K225" s="72" t="e">
        <f>IF(#REF!&gt;57.5,#REF!,IF(#REF!&gt;29.99999999,#REF!,IF(#REF!&gt;0.9999999999,#REF!,IF(#REF!&gt;0.000000001,#REF!,"Error"))))</f>
        <v>#REF!</v>
      </c>
      <c r="L225" s="13" t="e">
        <f>IF(K225&gt;J225,(1+E225*0.04)*#REF!*D225,0)</f>
        <v>#REF!</v>
      </c>
      <c r="M225" s="13" t="e">
        <f>IF(K225&gt;J225,G225^2*#REF!*D225*$B$5,0)</f>
        <v>#REF!</v>
      </c>
    </row>
    <row r="226" spans="2:13" x14ac:dyDescent="0.25">
      <c r="B226" s="2">
        <v>10</v>
      </c>
      <c r="C226" s="2" t="e">
        <f>#REF!</f>
        <v>#REF!</v>
      </c>
      <c r="D226" s="12" t="e">
        <f>IF(B226=1,#REF!,IF(B226=2,#REF!,IF(B226=3,#REF!,IF(B226=4,#REF!,IF(B226=5,#REF!,IF(B226=6,#REF!,IF(B226=7,#REF!,IF(B226=8,#REF!, IF(B226=9,#REF!,IF(B226=10,#REF!,IF(B226=11,#REF!,”Error”)))))))))))</f>
        <v>#REF!</v>
      </c>
      <c r="E226" s="12" t="e">
        <f>IF(#REF!="Si",1,IF(#REF!="No",0))</f>
        <v>#REF!</v>
      </c>
      <c r="F226" s="12" t="e">
        <f>IF(#REF!="Trifásico",3,IF(#REF!="Monofásico trifilar",2,IF(#REF!="Monofásico bifilar",1)))</f>
        <v>#REF!</v>
      </c>
      <c r="G226" s="22" t="e">
        <f>IF(#REF!="Trifásico",(#REF!)/(SQRT(3)*#REF!),IF(#REF!="Monofásico trifilar",(#REF!)/(#REF!),IF(#REF!="Monofásico bifilar",(#REF!)/(#REF!))))*(1+#REF!)</f>
        <v>#REF!</v>
      </c>
      <c r="H226" s="9" t="e">
        <f>IF(F226=3,#REF!*3*((Costos!G226/#REF!)^2)*#REF!*Costos!D226*Costos!$B$4,IF(F226=2,#REF!*2*((Costos!G226/#REF!)^2)*#REF!*Costos!D226*Costos!$B$4,IF(F226=1,#REF!*((Costos!G226/#REF!)^2)*#REF!*Costos!D226*Costos!$B$4,"error")))</f>
        <v>#REF!</v>
      </c>
      <c r="I226" s="9" t="e">
        <f>#REF!*#REF!*#REF!*1000</f>
        <v>#REF!</v>
      </c>
      <c r="J226" s="72" t="e">
        <f t="shared" si="3"/>
        <v>#REF!</v>
      </c>
      <c r="K226" s="72" t="e">
        <f>IF(#REF!&gt;57.5,#REF!,IF(#REF!&gt;29.99999999,#REF!,IF(#REF!&gt;0.9999999999,#REF!,IF(#REF!&gt;0.000000001,#REF!,"Error"))))</f>
        <v>#REF!</v>
      </c>
      <c r="L226" s="13" t="e">
        <f>IF(K226&gt;J226,(1+E226*0.04)*#REF!*D226,0)</f>
        <v>#REF!</v>
      </c>
      <c r="M226" s="13" t="e">
        <f>IF(K226&gt;J226,G226^2*#REF!*D226*$B$5,0)</f>
        <v>#REF!</v>
      </c>
    </row>
    <row r="227" spans="2:13" x14ac:dyDescent="0.25">
      <c r="B227" s="2">
        <v>10</v>
      </c>
      <c r="C227" s="2" t="e">
        <f>#REF!</f>
        <v>#REF!</v>
      </c>
      <c r="D227" s="12" t="e">
        <f>IF(B227=1,#REF!,IF(B227=2,#REF!,IF(B227=3,#REF!,IF(B227=4,#REF!,IF(B227=5,#REF!,IF(B227=6,#REF!,IF(B227=7,#REF!,IF(B227=8,#REF!, IF(B227=9,#REF!,IF(B227=10,#REF!,IF(B227=11,#REF!,”Error”)))))))))))</f>
        <v>#REF!</v>
      </c>
      <c r="E227" s="12" t="e">
        <f>IF(#REF!="Si",1,IF(#REF!="No",0))</f>
        <v>#REF!</v>
      </c>
      <c r="F227" s="12" t="e">
        <f>IF(#REF!="Trifásico",3,IF(#REF!="Monofásico trifilar",2,IF(#REF!="Monofásico bifilar",1)))</f>
        <v>#REF!</v>
      </c>
      <c r="G227" s="22" t="e">
        <f>IF(#REF!="Trifásico",(#REF!)/(SQRT(3)*#REF!),IF(#REF!="Monofásico trifilar",(#REF!)/(#REF!),IF(#REF!="Monofásico bifilar",(#REF!)/(#REF!))))*(1+#REF!)</f>
        <v>#REF!</v>
      </c>
      <c r="H227" s="9" t="e">
        <f>IF(F227=3,#REF!*3*((Costos!G227/#REF!)^2)*#REF!*Costos!D227*Costos!$B$4,IF(F227=2,#REF!*2*((Costos!G227/#REF!)^2)*#REF!*Costos!D227*Costos!$B$4,IF(F227=1,#REF!*((Costos!G227/#REF!)^2)*#REF!*Costos!D227*Costos!$B$4,"error")))</f>
        <v>#REF!</v>
      </c>
      <c r="I227" s="9" t="e">
        <f>#REF!*#REF!*#REF!*1000</f>
        <v>#REF!</v>
      </c>
      <c r="J227" s="72" t="e">
        <f t="shared" si="3"/>
        <v>#REF!</v>
      </c>
      <c r="K227" s="72" t="e">
        <f>IF(#REF!&gt;57.5,#REF!,IF(#REF!&gt;29.99999999,#REF!,IF(#REF!&gt;0.9999999999,#REF!,IF(#REF!&gt;0.000000001,#REF!,"Error"))))</f>
        <v>#REF!</v>
      </c>
      <c r="L227" s="13" t="e">
        <f>IF(K227&gt;J227,(1+E227*0.04)*#REF!*D227,0)</f>
        <v>#REF!</v>
      </c>
      <c r="M227" s="13" t="e">
        <f>IF(K227&gt;J227,G227^2*#REF!*D227*$B$5,0)</f>
        <v>#REF!</v>
      </c>
    </row>
    <row r="228" spans="2:13" x14ac:dyDescent="0.25">
      <c r="B228" s="2">
        <v>10</v>
      </c>
      <c r="C228" s="2" t="e">
        <f>#REF!</f>
        <v>#REF!</v>
      </c>
      <c r="D228" s="12" t="e">
        <f>IF(B228=1,#REF!,IF(B228=2,#REF!,IF(B228=3,#REF!,IF(B228=4,#REF!,IF(B228=5,#REF!,IF(B228=6,#REF!,IF(B228=7,#REF!,IF(B228=8,#REF!, IF(B228=9,#REF!,IF(B228=10,#REF!,IF(B228=11,#REF!,”Error”)))))))))))</f>
        <v>#REF!</v>
      </c>
      <c r="E228" s="12" t="e">
        <f>IF(#REF!="Si",1,IF(#REF!="No",0))</f>
        <v>#REF!</v>
      </c>
      <c r="F228" s="12" t="e">
        <f>IF(#REF!="Trifásico",3,IF(#REF!="Monofásico trifilar",2,IF(#REF!="Monofásico bifilar",1)))</f>
        <v>#REF!</v>
      </c>
      <c r="G228" s="22" t="e">
        <f>IF(#REF!="Trifásico",(#REF!)/(SQRT(3)*#REF!),IF(#REF!="Monofásico trifilar",(#REF!)/(#REF!),IF(#REF!="Monofásico bifilar",(#REF!)/(#REF!))))*(1+#REF!)</f>
        <v>#REF!</v>
      </c>
      <c r="H228" s="9" t="e">
        <f>IF(F228=3,#REF!*3*((Costos!G228/#REF!)^2)*#REF!*Costos!D228*Costos!$B$4,IF(F228=2,#REF!*2*((Costos!G228/#REF!)^2)*#REF!*Costos!D228*Costos!$B$4,IF(F228=1,#REF!*((Costos!G228/#REF!)^2)*#REF!*Costos!D228*Costos!$B$4,"error")))</f>
        <v>#REF!</v>
      </c>
      <c r="I228" s="9" t="e">
        <f>#REF!*#REF!*#REF!*1000</f>
        <v>#REF!</v>
      </c>
      <c r="J228" s="72" t="e">
        <f t="shared" si="3"/>
        <v>#REF!</v>
      </c>
      <c r="K228" s="72" t="e">
        <f>IF(#REF!&gt;57.5,#REF!,IF(#REF!&gt;29.99999999,#REF!,IF(#REF!&gt;0.9999999999,#REF!,IF(#REF!&gt;0.000000001,#REF!,"Error"))))</f>
        <v>#REF!</v>
      </c>
      <c r="L228" s="13" t="e">
        <f>IF(K228&gt;J228,(1+E228*0.04)*#REF!*D228,0)</f>
        <v>#REF!</v>
      </c>
      <c r="M228" s="13" t="e">
        <f>IF(K228&gt;J228,G228^2*#REF!*D228*$B$5,0)</f>
        <v>#REF!</v>
      </c>
    </row>
    <row r="229" spans="2:13" x14ac:dyDescent="0.25">
      <c r="B229" s="2">
        <v>10</v>
      </c>
      <c r="C229" s="2" t="e">
        <f>#REF!</f>
        <v>#REF!</v>
      </c>
      <c r="D229" s="12" t="e">
        <f>IF(B229=1,#REF!,IF(B229=2,#REF!,IF(B229=3,#REF!,IF(B229=4,#REF!,IF(B229=5,#REF!,IF(B229=6,#REF!,IF(B229=7,#REF!,IF(B229=8,#REF!, IF(B229=9,#REF!,IF(B229=10,#REF!,IF(B229=11,#REF!,”Error”)))))))))))</f>
        <v>#REF!</v>
      </c>
      <c r="E229" s="12" t="e">
        <f>IF(#REF!="Si",1,IF(#REF!="No",0))</f>
        <v>#REF!</v>
      </c>
      <c r="F229" s="12" t="e">
        <f>IF(#REF!="Trifásico",3,IF(#REF!="Monofásico trifilar",2,IF(#REF!="Monofásico bifilar",1)))</f>
        <v>#REF!</v>
      </c>
      <c r="G229" s="22" t="e">
        <f>IF(#REF!="Trifásico",(#REF!)/(SQRT(3)*#REF!),IF(#REF!="Monofásico trifilar",(#REF!)/(#REF!),IF(#REF!="Monofásico bifilar",(#REF!)/(#REF!))))*(1+#REF!)</f>
        <v>#REF!</v>
      </c>
      <c r="H229" s="9" t="e">
        <f>IF(F229=3,#REF!*3*((Costos!G229/#REF!)^2)*#REF!*Costos!D229*Costos!$B$4,IF(F229=2,#REF!*2*((Costos!G229/#REF!)^2)*#REF!*Costos!D229*Costos!$B$4,IF(F229=1,#REF!*((Costos!G229/#REF!)^2)*#REF!*Costos!D229*Costos!$B$4,"error")))</f>
        <v>#REF!</v>
      </c>
      <c r="I229" s="9" t="e">
        <f>#REF!*#REF!*#REF!*1000</f>
        <v>#REF!</v>
      </c>
      <c r="J229" s="72" t="e">
        <f t="shared" si="3"/>
        <v>#REF!</v>
      </c>
      <c r="K229" s="72" t="e">
        <f>IF(#REF!&gt;57.5,#REF!,IF(#REF!&gt;29.99999999,#REF!,IF(#REF!&gt;0.9999999999,#REF!,IF(#REF!&gt;0.000000001,#REF!,"Error"))))</f>
        <v>#REF!</v>
      </c>
      <c r="L229" s="13" t="e">
        <f>IF(K229&gt;J229,(1+E229*0.04)*#REF!*D229,0)</f>
        <v>#REF!</v>
      </c>
      <c r="M229" s="13" t="e">
        <f>IF(K229&gt;J229,G229^2*#REF!*D229*$B$5,0)</f>
        <v>#REF!</v>
      </c>
    </row>
    <row r="230" spans="2:13" x14ac:dyDescent="0.25">
      <c r="B230" s="2">
        <v>10</v>
      </c>
      <c r="C230" s="2" t="e">
        <f>#REF!</f>
        <v>#REF!</v>
      </c>
      <c r="D230" s="12" t="e">
        <f>IF(B230=1,#REF!,IF(B230=2,#REF!,IF(B230=3,#REF!,IF(B230=4,#REF!,IF(B230=5,#REF!,IF(B230=6,#REF!,IF(B230=7,#REF!,IF(B230=8,#REF!, IF(B230=9,#REF!,IF(B230=10,#REF!,IF(B230=11,#REF!,”Error”)))))))))))</f>
        <v>#REF!</v>
      </c>
      <c r="E230" s="12" t="e">
        <f>IF(#REF!="Si",1,IF(#REF!="No",0))</f>
        <v>#REF!</v>
      </c>
      <c r="F230" s="12" t="e">
        <f>IF(#REF!="Trifásico",3,IF(#REF!="Monofásico trifilar",2,IF(#REF!="Monofásico bifilar",1)))</f>
        <v>#REF!</v>
      </c>
      <c r="G230" s="22" t="e">
        <f>IF(#REF!="Trifásico",(#REF!)/(SQRT(3)*#REF!),IF(#REF!="Monofásico trifilar",(#REF!)/(#REF!),IF(#REF!="Monofásico bifilar",(#REF!)/(#REF!))))*(1+#REF!)</f>
        <v>#REF!</v>
      </c>
      <c r="H230" s="9" t="e">
        <f>IF(F230=3,#REF!*3*((Costos!G230/#REF!)^2)*#REF!*Costos!D230*Costos!$B$4,IF(F230=2,#REF!*2*((Costos!G230/#REF!)^2)*#REF!*Costos!D230*Costos!$B$4,IF(F230=1,#REF!*((Costos!G230/#REF!)^2)*#REF!*Costos!D230*Costos!$B$4,"error")))</f>
        <v>#REF!</v>
      </c>
      <c r="I230" s="9" t="e">
        <f>#REF!*#REF!*#REF!*1000</f>
        <v>#REF!</v>
      </c>
      <c r="J230" s="72" t="e">
        <f t="shared" si="3"/>
        <v>#REF!</v>
      </c>
      <c r="K230" s="72" t="e">
        <f>IF(#REF!&gt;57.5,#REF!,IF(#REF!&gt;29.99999999,#REF!,IF(#REF!&gt;0.9999999999,#REF!,IF(#REF!&gt;0.000000001,#REF!,"Error"))))</f>
        <v>#REF!</v>
      </c>
      <c r="L230" s="13" t="e">
        <f>IF(K230&gt;J230,(1+E230*0.04)*#REF!*D230,0)</f>
        <v>#REF!</v>
      </c>
      <c r="M230" s="13" t="e">
        <f>IF(K230&gt;J230,G230^2*#REF!*D230*$B$5,0)</f>
        <v>#REF!</v>
      </c>
    </row>
    <row r="231" spans="2:13" x14ac:dyDescent="0.25">
      <c r="B231" s="2">
        <v>10</v>
      </c>
      <c r="C231" s="2" t="e">
        <f>#REF!</f>
        <v>#REF!</v>
      </c>
      <c r="D231" s="12" t="e">
        <f>IF(B231=1,#REF!,IF(B231=2,#REF!,IF(B231=3,#REF!,IF(B231=4,#REF!,IF(B231=5,#REF!,IF(B231=6,#REF!,IF(B231=7,#REF!,IF(B231=8,#REF!, IF(B231=9,#REF!,IF(B231=10,#REF!,IF(B231=11,#REF!,”Error”)))))))))))</f>
        <v>#REF!</v>
      </c>
      <c r="E231" s="12" t="e">
        <f>IF(#REF!="Si",1,IF(#REF!="No",0))</f>
        <v>#REF!</v>
      </c>
      <c r="F231" s="12" t="e">
        <f>IF(#REF!="Trifásico",3,IF(#REF!="Monofásico trifilar",2,IF(#REF!="Monofásico bifilar",1)))</f>
        <v>#REF!</v>
      </c>
      <c r="G231" s="22" t="e">
        <f>IF(#REF!="Trifásico",(#REF!)/(SQRT(3)*#REF!),IF(#REF!="Monofásico trifilar",(#REF!)/(#REF!),IF(#REF!="Monofásico bifilar",(#REF!)/(#REF!))))*(1+#REF!)</f>
        <v>#REF!</v>
      </c>
      <c r="H231" s="9" t="e">
        <f>IF(F231=3,#REF!*3*((Costos!G231/#REF!)^2)*#REF!*Costos!D231*Costos!$B$4,IF(F231=2,#REF!*2*((Costos!G231/#REF!)^2)*#REF!*Costos!D231*Costos!$B$4,IF(F231=1,#REF!*((Costos!G231/#REF!)^2)*#REF!*Costos!D231*Costos!$B$4,"error")))</f>
        <v>#REF!</v>
      </c>
      <c r="I231" s="9" t="e">
        <f>#REF!*#REF!*#REF!*1000</f>
        <v>#REF!</v>
      </c>
      <c r="J231" s="72" t="e">
        <f t="shared" si="3"/>
        <v>#REF!</v>
      </c>
      <c r="K231" s="72" t="e">
        <f>IF(#REF!&gt;57.5,#REF!,IF(#REF!&gt;29.99999999,#REF!,IF(#REF!&gt;0.9999999999,#REF!,IF(#REF!&gt;0.000000001,#REF!,"Error"))))</f>
        <v>#REF!</v>
      </c>
      <c r="L231" s="13" t="e">
        <f>IF(K231&gt;J231,(1+E231*0.04)*#REF!*D231,0)</f>
        <v>#REF!</v>
      </c>
      <c r="M231" s="13" t="e">
        <f>IF(K231&gt;J231,G231^2*#REF!*D231*$B$5,0)</f>
        <v>#REF!</v>
      </c>
    </row>
    <row r="232" spans="2:13" x14ac:dyDescent="0.25">
      <c r="B232" s="2">
        <v>10</v>
      </c>
      <c r="C232" s="2" t="e">
        <f>#REF!</f>
        <v>#REF!</v>
      </c>
      <c r="D232" s="12" t="e">
        <f>IF(B232=1,#REF!,IF(B232=2,#REF!,IF(B232=3,#REF!,IF(B232=4,#REF!,IF(B232=5,#REF!,IF(B232=6,#REF!,IF(B232=7,#REF!,IF(B232=8,#REF!, IF(B232=9,#REF!,IF(B232=10,#REF!,IF(B232=11,#REF!,”Error”)))))))))))</f>
        <v>#REF!</v>
      </c>
      <c r="E232" s="12" t="e">
        <f>IF(#REF!="Si",1,IF(#REF!="No",0))</f>
        <v>#REF!</v>
      </c>
      <c r="F232" s="12" t="e">
        <f>IF(#REF!="Trifásico",3,IF(#REF!="Monofásico trifilar",2,IF(#REF!="Monofásico bifilar",1)))</f>
        <v>#REF!</v>
      </c>
      <c r="G232" s="22" t="e">
        <f>IF(#REF!="Trifásico",(#REF!)/(SQRT(3)*#REF!),IF(#REF!="Monofásico trifilar",(#REF!)/(#REF!),IF(#REF!="Monofásico bifilar",(#REF!)/(#REF!))))*(1+#REF!)</f>
        <v>#REF!</v>
      </c>
      <c r="H232" s="9" t="e">
        <f>IF(F232=3,#REF!*3*((Costos!G232/#REF!)^2)*#REF!*Costos!D232*Costos!$B$4,IF(F232=2,#REF!*2*((Costos!G232/#REF!)^2)*#REF!*Costos!D232*Costos!$B$4,IF(F232=1,#REF!*((Costos!G232/#REF!)^2)*#REF!*Costos!D232*Costos!$B$4,"error")))</f>
        <v>#REF!</v>
      </c>
      <c r="I232" s="9" t="e">
        <f>#REF!*#REF!*#REF!*1000</f>
        <v>#REF!</v>
      </c>
      <c r="J232" s="72" t="e">
        <f t="shared" si="3"/>
        <v>#REF!</v>
      </c>
      <c r="K232" s="72" t="e">
        <f>IF(#REF!&gt;57.5,#REF!,IF(#REF!&gt;29.99999999,#REF!,IF(#REF!&gt;0.9999999999,#REF!,IF(#REF!&gt;0.000000001,#REF!,"Error"))))</f>
        <v>#REF!</v>
      </c>
      <c r="L232" s="13" t="e">
        <f>IF(K232&gt;J232,(1+E232*0.04)*#REF!*D232,0)</f>
        <v>#REF!</v>
      </c>
      <c r="M232" s="13" t="e">
        <f>IF(K232&gt;J232,G232^2*#REF!*D232*$B$5,0)</f>
        <v>#REF!</v>
      </c>
    </row>
    <row r="233" spans="2:13" x14ac:dyDescent="0.25">
      <c r="B233" s="2">
        <v>10</v>
      </c>
      <c r="C233" s="2" t="e">
        <f>#REF!</f>
        <v>#REF!</v>
      </c>
      <c r="D233" s="12" t="e">
        <f>IF(B233=1,#REF!,IF(B233=2,#REF!,IF(B233=3,#REF!,IF(B233=4,#REF!,IF(B233=5,#REF!,IF(B233=6,#REF!,IF(B233=7,#REF!,IF(B233=8,#REF!, IF(B233=9,#REF!,IF(B233=10,#REF!,IF(B233=11,#REF!,”Error”)))))))))))</f>
        <v>#REF!</v>
      </c>
      <c r="E233" s="12" t="e">
        <f>IF(#REF!="Si",1,IF(#REF!="No",0))</f>
        <v>#REF!</v>
      </c>
      <c r="F233" s="12" t="e">
        <f>IF(#REF!="Trifásico",3,IF(#REF!="Monofásico trifilar",2,IF(#REF!="Monofásico bifilar",1)))</f>
        <v>#REF!</v>
      </c>
      <c r="G233" s="22" t="e">
        <f>IF(#REF!="Trifásico",(#REF!)/(SQRT(3)*#REF!),IF(#REF!="Monofásico trifilar",(#REF!)/(#REF!),IF(#REF!="Monofásico bifilar",(#REF!)/(#REF!))))*(1+#REF!)</f>
        <v>#REF!</v>
      </c>
      <c r="H233" s="9" t="e">
        <f>IF(F233=3,#REF!*3*((Costos!G233/#REF!)^2)*#REF!*Costos!D233*Costos!$B$4,IF(F233=2,#REF!*2*((Costos!G233/#REF!)^2)*#REF!*Costos!D233*Costos!$B$4,IF(F233=1,#REF!*((Costos!G233/#REF!)^2)*#REF!*Costos!D233*Costos!$B$4,"error")))</f>
        <v>#REF!</v>
      </c>
      <c r="I233" s="9" t="e">
        <f>#REF!*#REF!*#REF!*1000</f>
        <v>#REF!</v>
      </c>
      <c r="J233" s="72" t="e">
        <f t="shared" si="3"/>
        <v>#REF!</v>
      </c>
      <c r="K233" s="72" t="e">
        <f>IF(#REF!&gt;57.5,#REF!,IF(#REF!&gt;29.99999999,#REF!,IF(#REF!&gt;0.9999999999,#REF!,IF(#REF!&gt;0.000000001,#REF!,"Error"))))</f>
        <v>#REF!</v>
      </c>
      <c r="L233" s="13" t="e">
        <f>IF(K233&gt;J233,(1+E233*0.04)*#REF!*D233,0)</f>
        <v>#REF!</v>
      </c>
      <c r="M233" s="13" t="e">
        <f>IF(K233&gt;J233,G233^2*#REF!*D233*$B$5,0)</f>
        <v>#REF!</v>
      </c>
    </row>
    <row r="234" spans="2:13" x14ac:dyDescent="0.25">
      <c r="B234" s="2">
        <v>10</v>
      </c>
      <c r="C234" s="2" t="e">
        <f>#REF!</f>
        <v>#REF!</v>
      </c>
      <c r="D234" s="12" t="e">
        <f>IF(B234=1,#REF!,IF(B234=2,#REF!,IF(B234=3,#REF!,IF(B234=4,#REF!,IF(B234=5,#REF!,IF(B234=6,#REF!,IF(B234=7,#REF!,IF(B234=8,#REF!, IF(B234=9,#REF!,IF(B234=10,#REF!,IF(B234=11,#REF!,”Error”)))))))))))</f>
        <v>#REF!</v>
      </c>
      <c r="E234" s="12" t="e">
        <f>IF(#REF!="Si",1,IF(#REF!="No",0))</f>
        <v>#REF!</v>
      </c>
      <c r="F234" s="12" t="e">
        <f>IF(#REF!="Trifásico",3,IF(#REF!="Monofásico trifilar",2,IF(#REF!="Monofásico bifilar",1)))</f>
        <v>#REF!</v>
      </c>
      <c r="G234" s="22" t="e">
        <f>IF(#REF!="Trifásico",(#REF!)/(SQRT(3)*#REF!),IF(#REF!="Monofásico trifilar",(#REF!)/(#REF!),IF(#REF!="Monofásico bifilar",(#REF!)/(#REF!))))*(1+#REF!)</f>
        <v>#REF!</v>
      </c>
      <c r="H234" s="9" t="e">
        <f>IF(F234=3,#REF!*3*((Costos!G234/#REF!)^2)*#REF!*Costos!D234*Costos!$B$4,IF(F234=2,#REF!*2*((Costos!G234/#REF!)^2)*#REF!*Costos!D234*Costos!$B$4,IF(F234=1,#REF!*((Costos!G234/#REF!)^2)*#REF!*Costos!D234*Costos!$B$4,"error")))</f>
        <v>#REF!</v>
      </c>
      <c r="I234" s="9" t="e">
        <f>#REF!*#REF!*#REF!*1000</f>
        <v>#REF!</v>
      </c>
      <c r="J234" s="72" t="e">
        <f t="shared" si="3"/>
        <v>#REF!</v>
      </c>
      <c r="K234" s="72" t="e">
        <f>IF(#REF!&gt;57.5,#REF!,IF(#REF!&gt;29.99999999,#REF!,IF(#REF!&gt;0.9999999999,#REF!,IF(#REF!&gt;0.000000001,#REF!,"Error"))))</f>
        <v>#REF!</v>
      </c>
      <c r="L234" s="13" t="e">
        <f>IF(K234&gt;J234,(1+E234*0.04)*#REF!*D234,0)</f>
        <v>#REF!</v>
      </c>
      <c r="M234" s="13" t="e">
        <f>IF(K234&gt;J234,G234^2*#REF!*D234*$B$5,0)</f>
        <v>#REF!</v>
      </c>
    </row>
    <row r="235" spans="2:13" x14ac:dyDescent="0.25">
      <c r="B235" s="2">
        <v>10</v>
      </c>
      <c r="C235" s="2" t="e">
        <f>#REF!</f>
        <v>#REF!</v>
      </c>
      <c r="D235" s="12" t="e">
        <f>IF(B235=1,#REF!,IF(B235=2,#REF!,IF(B235=3,#REF!,IF(B235=4,#REF!,IF(B235=5,#REF!,IF(B235=6,#REF!,IF(B235=7,#REF!,IF(B235=8,#REF!, IF(B235=9,#REF!,IF(B235=10,#REF!,IF(B235=11,#REF!,”Error”)))))))))))</f>
        <v>#REF!</v>
      </c>
      <c r="E235" s="12" t="e">
        <f>IF(#REF!="Si",1,IF(#REF!="No",0))</f>
        <v>#REF!</v>
      </c>
      <c r="F235" s="12" t="e">
        <f>IF(#REF!="Trifásico",3,IF(#REF!="Monofásico trifilar",2,IF(#REF!="Monofásico bifilar",1)))</f>
        <v>#REF!</v>
      </c>
      <c r="G235" s="22" t="e">
        <f>IF(#REF!="Trifásico",(#REF!)/(SQRT(3)*#REF!),IF(#REF!="Monofásico trifilar",(#REF!)/(#REF!),IF(#REF!="Monofásico bifilar",(#REF!)/(#REF!))))*(1+#REF!)</f>
        <v>#REF!</v>
      </c>
      <c r="H235" s="9" t="e">
        <f>IF(F235=3,#REF!*3*((Costos!G235/#REF!)^2)*#REF!*Costos!D235*Costos!$B$4,IF(F235=2,#REF!*2*((Costos!G235/#REF!)^2)*#REF!*Costos!D235*Costos!$B$4,IF(F235=1,#REF!*((Costos!G235/#REF!)^2)*#REF!*Costos!D235*Costos!$B$4,"error")))</f>
        <v>#REF!</v>
      </c>
      <c r="I235" s="9" t="e">
        <f>#REF!*#REF!*#REF!*1000</f>
        <v>#REF!</v>
      </c>
      <c r="J235" s="72" t="e">
        <f t="shared" si="3"/>
        <v>#REF!</v>
      </c>
      <c r="K235" s="72" t="e">
        <f>IF(#REF!&gt;57.5,#REF!,IF(#REF!&gt;29.99999999,#REF!,IF(#REF!&gt;0.9999999999,#REF!,IF(#REF!&gt;0.000000001,#REF!,"Error"))))</f>
        <v>#REF!</v>
      </c>
      <c r="L235" s="13" t="e">
        <f>IF(K235&gt;J235,(1+E235*0.04)*#REF!*D235,0)</f>
        <v>#REF!</v>
      </c>
      <c r="M235" s="13" t="e">
        <f>IF(K235&gt;J235,G235^2*#REF!*D235*$B$5,0)</f>
        <v>#REF!</v>
      </c>
    </row>
    <row r="236" spans="2:13" x14ac:dyDescent="0.25">
      <c r="B236" s="2">
        <v>10</v>
      </c>
      <c r="C236" s="2" t="e">
        <f>#REF!</f>
        <v>#REF!</v>
      </c>
      <c r="D236" s="12" t="e">
        <f>IF(B236=1,#REF!,IF(B236=2,#REF!,IF(B236=3,#REF!,IF(B236=4,#REF!,IF(B236=5,#REF!,IF(B236=6,#REF!,IF(B236=7,#REF!,IF(B236=8,#REF!, IF(B236=9,#REF!,IF(B236=10,#REF!,IF(B236=11,#REF!,”Error”)))))))))))</f>
        <v>#REF!</v>
      </c>
      <c r="E236" s="12" t="e">
        <f>IF(#REF!="Si",1,IF(#REF!="No",0))</f>
        <v>#REF!</v>
      </c>
      <c r="F236" s="12" t="e">
        <f>IF(#REF!="Trifásico",3,IF(#REF!="Monofásico trifilar",2,IF(#REF!="Monofásico bifilar",1)))</f>
        <v>#REF!</v>
      </c>
      <c r="G236" s="22" t="e">
        <f>IF(#REF!="Trifásico",(#REF!)/(SQRT(3)*#REF!),IF(#REF!="Monofásico trifilar",(#REF!)/(#REF!),IF(#REF!="Monofásico bifilar",(#REF!)/(#REF!))))*(1+#REF!)</f>
        <v>#REF!</v>
      </c>
      <c r="H236" s="9" t="e">
        <f>IF(F236=3,#REF!*3*((Costos!G236/#REF!)^2)*#REF!*Costos!D236*Costos!$B$4,IF(F236=2,#REF!*2*((Costos!G236/#REF!)^2)*#REF!*Costos!D236*Costos!$B$4,IF(F236=1,#REF!*((Costos!G236/#REF!)^2)*#REF!*Costos!D236*Costos!$B$4,"error")))</f>
        <v>#REF!</v>
      </c>
      <c r="I236" s="9" t="e">
        <f>#REF!*#REF!*#REF!*1000</f>
        <v>#REF!</v>
      </c>
      <c r="J236" s="72" t="e">
        <f t="shared" si="3"/>
        <v>#REF!</v>
      </c>
      <c r="K236" s="72" t="e">
        <f>IF(#REF!&gt;57.5,#REF!,IF(#REF!&gt;29.99999999,#REF!,IF(#REF!&gt;0.9999999999,#REF!,IF(#REF!&gt;0.000000001,#REF!,"Error"))))</f>
        <v>#REF!</v>
      </c>
      <c r="L236" s="13" t="e">
        <f>IF(K236&gt;J236,(1+E236*0.04)*#REF!*D236,0)</f>
        <v>#REF!</v>
      </c>
      <c r="M236" s="13" t="e">
        <f>IF(K236&gt;J236,G236^2*#REF!*D236*$B$5,0)</f>
        <v>#REF!</v>
      </c>
    </row>
    <row r="237" spans="2:13" x14ac:dyDescent="0.25">
      <c r="B237" s="2">
        <v>10</v>
      </c>
      <c r="C237" s="2" t="e">
        <f>#REF!</f>
        <v>#REF!</v>
      </c>
      <c r="D237" s="12" t="e">
        <f>IF(B237=1,#REF!,IF(B237=2,#REF!,IF(B237=3,#REF!,IF(B237=4,#REF!,IF(B237=5,#REF!,IF(B237=6,#REF!,IF(B237=7,#REF!,IF(B237=8,#REF!, IF(B237=9,#REF!,IF(B237=10,#REF!,IF(B237=11,#REF!,”Error”)))))))))))</f>
        <v>#REF!</v>
      </c>
      <c r="E237" s="12" t="e">
        <f>IF(#REF!="Si",1,IF(#REF!="No",0))</f>
        <v>#REF!</v>
      </c>
      <c r="F237" s="12" t="e">
        <f>IF(#REF!="Trifásico",3,IF(#REF!="Monofásico trifilar",2,IF(#REF!="Monofásico bifilar",1)))</f>
        <v>#REF!</v>
      </c>
      <c r="G237" s="22" t="e">
        <f>IF(#REF!="Trifásico",(#REF!)/(SQRT(3)*#REF!),IF(#REF!="Monofásico trifilar",(#REF!)/(#REF!),IF(#REF!="Monofásico bifilar",(#REF!)/(#REF!))))*(1+#REF!)</f>
        <v>#REF!</v>
      </c>
      <c r="H237" s="9" t="e">
        <f>IF(F237=3,#REF!*3*((Costos!G237/#REF!)^2)*#REF!*Costos!D237*Costos!$B$4,IF(F237=2,#REF!*2*((Costos!G237/#REF!)^2)*#REF!*Costos!D237*Costos!$B$4,IF(F237=1,#REF!*((Costos!G237/#REF!)^2)*#REF!*Costos!D237*Costos!$B$4,"error")))</f>
        <v>#REF!</v>
      </c>
      <c r="I237" s="9" t="e">
        <f>#REF!*#REF!*#REF!*1000</f>
        <v>#REF!</v>
      </c>
      <c r="J237" s="72" t="e">
        <f t="shared" si="3"/>
        <v>#REF!</v>
      </c>
      <c r="K237" s="72" t="e">
        <f>IF(#REF!&gt;57.5,#REF!,IF(#REF!&gt;29.99999999,#REF!,IF(#REF!&gt;0.9999999999,#REF!,IF(#REF!&gt;0.000000001,#REF!,"Error"))))</f>
        <v>#REF!</v>
      </c>
      <c r="L237" s="13" t="e">
        <f>IF(K237&gt;J237,(1+E237*0.04)*#REF!*D237,0)</f>
        <v>#REF!</v>
      </c>
      <c r="M237" s="13" t="e">
        <f>IF(K237&gt;J237,G237^2*#REF!*D237*$B$5,0)</f>
        <v>#REF!</v>
      </c>
    </row>
    <row r="238" spans="2:13" x14ac:dyDescent="0.25">
      <c r="B238" s="2">
        <v>11</v>
      </c>
      <c r="C238" s="2" t="e">
        <f>#REF!</f>
        <v>#REF!</v>
      </c>
      <c r="D238" s="12" t="e">
        <f>IF(B238=1,#REF!,IF(B238=2,#REF!,IF(B238=3,#REF!,IF(B238=4,#REF!,IF(B238=5,#REF!,IF(B238=6,#REF!,IF(B238=7,#REF!,IF(B238=8,#REF!, IF(B238=9,#REF!,IF(B238=10,#REF!,IF(B238=11,#REF!,”Error”)))))))))))</f>
        <v>#REF!</v>
      </c>
      <c r="E238" s="12" t="e">
        <f>IF(#REF!="Si",1,IF(#REF!="No",0))</f>
        <v>#REF!</v>
      </c>
      <c r="F238" s="12" t="e">
        <f>IF(#REF!="Trifásico",3,IF(#REF!="Monofásico trifilar",2,IF(#REF!="Monofásico bifilar",1)))</f>
        <v>#REF!</v>
      </c>
      <c r="G238" s="22" t="e">
        <f>IF(#REF!="Trifásico",(#REF!)/(SQRT(3)*#REF!),IF(#REF!="Monofásico trifilar",(#REF!)/(#REF!),IF(#REF!="Monofásico bifilar",(#REF!)/(#REF!))))*(1+#REF!)</f>
        <v>#REF!</v>
      </c>
      <c r="H238" s="9" t="e">
        <f>IF(F238=3,#REF!*3*((Costos!G238/#REF!)^2)*#REF!*Costos!D238*Costos!$B$4,IF(F238=2,#REF!*2*((Costos!G238/#REF!)^2)*#REF!*Costos!D238*Costos!$B$4,IF(F238=1,#REF!*((Costos!G238/#REF!)^2)*#REF!*Costos!D238*Costos!$B$4,"error")))</f>
        <v>#REF!</v>
      </c>
      <c r="I238" s="9" t="e">
        <f>#REF!*#REF!*#REF!*1000</f>
        <v>#REF!</v>
      </c>
      <c r="J238" s="72" t="e">
        <f t="shared" si="3"/>
        <v>#REF!</v>
      </c>
      <c r="K238" s="72" t="e">
        <f>IF(#REF!&gt;57.5,#REF!,IF(#REF!&gt;29.99999999,#REF!,IF(#REF!&gt;0.9999999999,#REF!,IF(#REF!&gt;0.000000001,#REF!,"Error"))))</f>
        <v>#REF!</v>
      </c>
      <c r="L238" s="13" t="e">
        <f>IF(K238&gt;J238,(1+E238*0.04)*#REF!*D238,0)</f>
        <v>#REF!</v>
      </c>
      <c r="M238" s="13" t="e">
        <f>IF(K238&gt;J238,G238^2*#REF!*D238*$B$5,0)</f>
        <v>#REF!</v>
      </c>
    </row>
    <row r="239" spans="2:13" x14ac:dyDescent="0.25">
      <c r="B239" s="2">
        <v>11</v>
      </c>
      <c r="C239" s="2" t="e">
        <f>#REF!</f>
        <v>#REF!</v>
      </c>
      <c r="D239" s="12" t="e">
        <f>IF(B239=1,#REF!,IF(B239=2,#REF!,IF(B239=3,#REF!,IF(B239=4,#REF!,IF(B239=5,#REF!,IF(B239=6,#REF!,IF(B239=7,#REF!,IF(B239=8,#REF!, IF(B239=9,#REF!,IF(B239=10,#REF!,IF(B239=11,#REF!,”Error”)))))))))))</f>
        <v>#REF!</v>
      </c>
      <c r="E239" s="12" t="e">
        <f>IF(#REF!="Si",1,IF(#REF!="No",0))</f>
        <v>#REF!</v>
      </c>
      <c r="F239" s="12" t="e">
        <f>IF(#REF!="Trifásico",3,IF(#REF!="Monofásico trifilar",2,IF(#REF!="Monofásico bifilar",1)))</f>
        <v>#REF!</v>
      </c>
      <c r="G239" s="22" t="e">
        <f>IF(#REF!="Trifásico",(#REF!)/(SQRT(3)*#REF!),IF(#REF!="Monofásico trifilar",(#REF!)/(#REF!),IF(#REF!="Monofásico bifilar",(#REF!)/(#REF!))))*(1+#REF!)</f>
        <v>#REF!</v>
      </c>
      <c r="H239" s="9" t="e">
        <f>IF(F239=3,#REF!*3*((Costos!G239/#REF!)^2)*#REF!*Costos!D239*Costos!$B$4,IF(F239=2,#REF!*2*((Costos!G239/#REF!)^2)*#REF!*Costos!D239*Costos!$B$4,IF(F239=1,#REF!*((Costos!G239/#REF!)^2)*#REF!*Costos!D239*Costos!$B$4,"error")))</f>
        <v>#REF!</v>
      </c>
      <c r="I239" s="9" t="e">
        <f>#REF!*#REF!*#REF!*1000</f>
        <v>#REF!</v>
      </c>
      <c r="J239" s="72" t="e">
        <f t="shared" si="3"/>
        <v>#REF!</v>
      </c>
      <c r="K239" s="72" t="e">
        <f>IF(#REF!&gt;57.5,#REF!,IF(#REF!&gt;29.99999999,#REF!,IF(#REF!&gt;0.9999999999,#REF!,IF(#REF!&gt;0.000000001,#REF!,"Error"))))</f>
        <v>#REF!</v>
      </c>
      <c r="L239" s="13" t="e">
        <f>IF(K239&gt;J239,(1+E239*0.04)*#REF!*D239,0)</f>
        <v>#REF!</v>
      </c>
      <c r="M239" s="13" t="e">
        <f>IF(K239&gt;J239,G239^2*#REF!*D239*$B$5,0)</f>
        <v>#REF!</v>
      </c>
    </row>
    <row r="240" spans="2:13" x14ac:dyDescent="0.25">
      <c r="B240" s="2">
        <v>11</v>
      </c>
      <c r="C240" s="2" t="e">
        <f>#REF!</f>
        <v>#REF!</v>
      </c>
      <c r="D240" s="12" t="e">
        <f>IF(B240=1,#REF!,IF(B240=2,#REF!,IF(B240=3,#REF!,IF(B240=4,#REF!,IF(B240=5,#REF!,IF(B240=6,#REF!,IF(B240=7,#REF!,IF(B240=8,#REF!, IF(B240=9,#REF!,IF(B240=10,#REF!,IF(B240=11,#REF!,”Error”)))))))))))</f>
        <v>#REF!</v>
      </c>
      <c r="E240" s="12" t="e">
        <f>IF(#REF!="Si",1,IF(#REF!="No",0))</f>
        <v>#REF!</v>
      </c>
      <c r="F240" s="12" t="e">
        <f>IF(#REF!="Trifásico",3,IF(#REF!="Monofásico trifilar",2,IF(#REF!="Monofásico bifilar",1)))</f>
        <v>#REF!</v>
      </c>
      <c r="G240" s="22" t="e">
        <f>IF(#REF!="Trifásico",(#REF!)/(SQRT(3)*#REF!),IF(#REF!="Monofásico trifilar",(#REF!)/(#REF!),IF(#REF!="Monofásico bifilar",(#REF!)/(#REF!))))*(1+#REF!)</f>
        <v>#REF!</v>
      </c>
      <c r="H240" s="9" t="e">
        <f>IF(F240=3,#REF!*3*((Costos!G240/#REF!)^2)*#REF!*Costos!D240*Costos!$B$4,IF(F240=2,#REF!*2*((Costos!G240/#REF!)^2)*#REF!*Costos!D240*Costos!$B$4,IF(F240=1,#REF!*((Costos!G240/#REF!)^2)*#REF!*Costos!D240*Costos!$B$4,"error")))</f>
        <v>#REF!</v>
      </c>
      <c r="I240" s="9" t="e">
        <f>#REF!*#REF!*#REF!*1000</f>
        <v>#REF!</v>
      </c>
      <c r="J240" s="72" t="e">
        <f t="shared" si="3"/>
        <v>#REF!</v>
      </c>
      <c r="K240" s="72" t="e">
        <f>IF(#REF!&gt;57.5,#REF!,IF(#REF!&gt;29.99999999,#REF!,IF(#REF!&gt;0.9999999999,#REF!,IF(#REF!&gt;0.000000001,#REF!,"Error"))))</f>
        <v>#REF!</v>
      </c>
      <c r="L240" s="13" t="e">
        <f>IF(K240&gt;J240,(1+E240*0.04)*#REF!*D240,0)</f>
        <v>#REF!</v>
      </c>
      <c r="M240" s="13" t="e">
        <f>IF(K240&gt;J240,G240^2*#REF!*D240*$B$5,0)</f>
        <v>#REF!</v>
      </c>
    </row>
    <row r="241" spans="2:13" x14ac:dyDescent="0.25">
      <c r="B241" s="2">
        <v>11</v>
      </c>
      <c r="C241" s="2" t="e">
        <f>#REF!</f>
        <v>#REF!</v>
      </c>
      <c r="D241" s="12" t="e">
        <f>IF(B241=1,#REF!,IF(B241=2,#REF!,IF(B241=3,#REF!,IF(B241=4,#REF!,IF(B241=5,#REF!,IF(B241=6,#REF!,IF(B241=7,#REF!,IF(B241=8,#REF!, IF(B241=9,#REF!,IF(B241=10,#REF!,IF(B241=11,#REF!,”Error”)))))))))))</f>
        <v>#REF!</v>
      </c>
      <c r="E241" s="12" t="e">
        <f>IF(#REF!="Si",1,IF(#REF!="No",0))</f>
        <v>#REF!</v>
      </c>
      <c r="F241" s="12" t="e">
        <f>IF(#REF!="Trifásico",3,IF(#REF!="Monofásico trifilar",2,IF(#REF!="Monofásico bifilar",1)))</f>
        <v>#REF!</v>
      </c>
      <c r="G241" s="22" t="e">
        <f>IF(#REF!="Trifásico",(#REF!)/(SQRT(3)*#REF!),IF(#REF!="Monofásico trifilar",(#REF!)/(#REF!),IF(#REF!="Monofásico bifilar",(#REF!)/(#REF!))))*(1+#REF!)</f>
        <v>#REF!</v>
      </c>
      <c r="H241" s="9" t="e">
        <f>IF(F241=3,#REF!*3*((Costos!G241/#REF!)^2)*#REF!*Costos!D241*Costos!$B$4,IF(F241=2,#REF!*2*((Costos!G241/#REF!)^2)*#REF!*Costos!D241*Costos!$B$4,IF(F241=1,#REF!*((Costos!G241/#REF!)^2)*#REF!*Costos!D241*Costos!$B$4,"error")))</f>
        <v>#REF!</v>
      </c>
      <c r="I241" s="9" t="e">
        <f>#REF!*#REF!*#REF!*1000</f>
        <v>#REF!</v>
      </c>
      <c r="J241" s="72" t="e">
        <f t="shared" si="3"/>
        <v>#REF!</v>
      </c>
      <c r="K241" s="72" t="e">
        <f>IF(#REF!&gt;57.5,#REF!,IF(#REF!&gt;29.99999999,#REF!,IF(#REF!&gt;0.9999999999,#REF!,IF(#REF!&gt;0.000000001,#REF!,"Error"))))</f>
        <v>#REF!</v>
      </c>
      <c r="L241" s="13" t="e">
        <f>IF(K241&gt;J241,(1+E241*0.04)*#REF!*D241,0)</f>
        <v>#REF!</v>
      </c>
      <c r="M241" s="13" t="e">
        <f>IF(K241&gt;J241,G241^2*#REF!*D241*$B$5,0)</f>
        <v>#REF!</v>
      </c>
    </row>
    <row r="242" spans="2:13" x14ac:dyDescent="0.25">
      <c r="B242" s="2">
        <v>11</v>
      </c>
      <c r="C242" s="2" t="e">
        <f>#REF!</f>
        <v>#REF!</v>
      </c>
      <c r="D242" s="12" t="e">
        <f>IF(B242=1,#REF!,IF(B242=2,#REF!,IF(B242=3,#REF!,IF(B242=4,#REF!,IF(B242=5,#REF!,IF(B242=6,#REF!,IF(B242=7,#REF!,IF(B242=8,#REF!, IF(B242=9,#REF!,IF(B242=10,#REF!,IF(B242=11,#REF!,”Error”)))))))))))</f>
        <v>#REF!</v>
      </c>
      <c r="E242" s="12" t="e">
        <f>IF(#REF!="Si",1,IF(#REF!="No",0))</f>
        <v>#REF!</v>
      </c>
      <c r="F242" s="12" t="e">
        <f>IF(#REF!="Trifásico",3,IF(#REF!="Monofásico trifilar",2,IF(#REF!="Monofásico bifilar",1)))</f>
        <v>#REF!</v>
      </c>
      <c r="G242" s="22" t="e">
        <f>IF(#REF!="Trifásico",(#REF!)/(SQRT(3)*#REF!),IF(#REF!="Monofásico trifilar",(#REF!)/(#REF!),IF(#REF!="Monofásico bifilar",(#REF!)/(#REF!))))*(1+#REF!)</f>
        <v>#REF!</v>
      </c>
      <c r="H242" s="9" t="e">
        <f>IF(F242=3,#REF!*3*((Costos!G242/#REF!)^2)*#REF!*Costos!D242*Costos!$B$4,IF(F242=2,#REF!*2*((Costos!G242/#REF!)^2)*#REF!*Costos!D242*Costos!$B$4,IF(F242=1,#REF!*((Costos!G242/#REF!)^2)*#REF!*Costos!D242*Costos!$B$4,"error")))</f>
        <v>#REF!</v>
      </c>
      <c r="I242" s="9" t="e">
        <f>#REF!*#REF!*#REF!*1000</f>
        <v>#REF!</v>
      </c>
      <c r="J242" s="72" t="e">
        <f t="shared" si="3"/>
        <v>#REF!</v>
      </c>
      <c r="K242" s="72" t="e">
        <f>IF(#REF!&gt;57.5,#REF!,IF(#REF!&gt;29.99999999,#REF!,IF(#REF!&gt;0.9999999999,#REF!,IF(#REF!&gt;0.000000001,#REF!,"Error"))))</f>
        <v>#REF!</v>
      </c>
      <c r="L242" s="13" t="e">
        <f>IF(K242&gt;J242,(1+E242*0.04)*#REF!*D242,0)</f>
        <v>#REF!</v>
      </c>
      <c r="M242" s="13" t="e">
        <f>IF(K242&gt;J242,G242^2*#REF!*D242*$B$5,0)</f>
        <v>#REF!</v>
      </c>
    </row>
    <row r="243" spans="2:13" x14ac:dyDescent="0.25">
      <c r="B243" s="2">
        <v>11</v>
      </c>
      <c r="C243" s="2" t="e">
        <f>#REF!</f>
        <v>#REF!</v>
      </c>
      <c r="D243" s="12" t="e">
        <f>IF(B243=1,#REF!,IF(B243=2,#REF!,IF(B243=3,#REF!,IF(B243=4,#REF!,IF(B243=5,#REF!,IF(B243=6,#REF!,IF(B243=7,#REF!,IF(B243=8,#REF!, IF(B243=9,#REF!,IF(B243=10,#REF!,IF(B243=11,#REF!,”Error”)))))))))))</f>
        <v>#REF!</v>
      </c>
      <c r="E243" s="12" t="e">
        <f>IF(#REF!="Si",1,IF(#REF!="No",0))</f>
        <v>#REF!</v>
      </c>
      <c r="F243" s="12" t="e">
        <f>IF(#REF!="Trifásico",3,IF(#REF!="Monofásico trifilar",2,IF(#REF!="Monofásico bifilar",1)))</f>
        <v>#REF!</v>
      </c>
      <c r="G243" s="22" t="e">
        <f>IF(#REF!="Trifásico",(#REF!)/(SQRT(3)*#REF!),IF(#REF!="Monofásico trifilar",(#REF!)/(#REF!),IF(#REF!="Monofásico bifilar",(#REF!)/(#REF!))))*(1+#REF!)</f>
        <v>#REF!</v>
      </c>
      <c r="H243" s="9" t="e">
        <f>IF(F243=3,#REF!*3*((Costos!G243/#REF!)^2)*#REF!*Costos!D243*Costos!$B$4,IF(F243=2,#REF!*2*((Costos!G243/#REF!)^2)*#REF!*Costos!D243*Costos!$B$4,IF(F243=1,#REF!*((Costos!G243/#REF!)^2)*#REF!*Costos!D243*Costos!$B$4,"error")))</f>
        <v>#REF!</v>
      </c>
      <c r="I243" s="9" t="e">
        <f>#REF!*#REF!*#REF!*1000</f>
        <v>#REF!</v>
      </c>
      <c r="J243" s="72" t="e">
        <f t="shared" si="3"/>
        <v>#REF!</v>
      </c>
      <c r="K243" s="72" t="e">
        <f>IF(#REF!&gt;57.5,#REF!,IF(#REF!&gt;29.99999999,#REF!,IF(#REF!&gt;0.9999999999,#REF!,IF(#REF!&gt;0.000000001,#REF!,"Error"))))</f>
        <v>#REF!</v>
      </c>
      <c r="L243" s="13" t="e">
        <f>IF(K243&gt;J243,(1+E243*0.04)*#REF!*D243,0)</f>
        <v>#REF!</v>
      </c>
      <c r="M243" s="13" t="e">
        <f>IF(K243&gt;J243,G243^2*#REF!*D243*$B$5,0)</f>
        <v>#REF!</v>
      </c>
    </row>
    <row r="244" spans="2:13" x14ac:dyDescent="0.25">
      <c r="B244" s="2">
        <v>11</v>
      </c>
      <c r="C244" s="2" t="e">
        <f>#REF!</f>
        <v>#REF!</v>
      </c>
      <c r="D244" s="12" t="e">
        <f>IF(B244=1,#REF!,IF(B244=2,#REF!,IF(B244=3,#REF!,IF(B244=4,#REF!,IF(B244=5,#REF!,IF(B244=6,#REF!,IF(B244=7,#REF!,IF(B244=8,#REF!, IF(B244=9,#REF!,IF(B244=10,#REF!,IF(B244=11,#REF!,”Error”)))))))))))</f>
        <v>#REF!</v>
      </c>
      <c r="E244" s="12" t="e">
        <f>IF(#REF!="Si",1,IF(#REF!="No",0))</f>
        <v>#REF!</v>
      </c>
      <c r="F244" s="12" t="e">
        <f>IF(#REF!="Trifásico",3,IF(#REF!="Monofásico trifilar",2,IF(#REF!="Monofásico bifilar",1)))</f>
        <v>#REF!</v>
      </c>
      <c r="G244" s="22" t="e">
        <f>IF(#REF!="Trifásico",(#REF!)/(SQRT(3)*#REF!),IF(#REF!="Monofásico trifilar",(#REF!)/(#REF!),IF(#REF!="Monofásico bifilar",(#REF!)/(#REF!))))*(1+#REF!)</f>
        <v>#REF!</v>
      </c>
      <c r="H244" s="9" t="e">
        <f>IF(F244=3,#REF!*3*((Costos!G244/#REF!)^2)*#REF!*Costos!D244*Costos!$B$4,IF(F244=2,#REF!*2*((Costos!G244/#REF!)^2)*#REF!*Costos!D244*Costos!$B$4,IF(F244=1,#REF!*((Costos!G244/#REF!)^2)*#REF!*Costos!D244*Costos!$B$4,"error")))</f>
        <v>#REF!</v>
      </c>
      <c r="I244" s="9" t="e">
        <f>#REF!*#REF!*#REF!*1000</f>
        <v>#REF!</v>
      </c>
      <c r="J244" s="72" t="e">
        <f t="shared" si="3"/>
        <v>#REF!</v>
      </c>
      <c r="K244" s="72" t="e">
        <f>IF(#REF!&gt;57.5,#REF!,IF(#REF!&gt;29.99999999,#REF!,IF(#REF!&gt;0.9999999999,#REF!,IF(#REF!&gt;0.000000001,#REF!,"Error"))))</f>
        <v>#REF!</v>
      </c>
      <c r="L244" s="13" t="e">
        <f>IF(K244&gt;J244,(1+E244*0.04)*#REF!*D244,0)</f>
        <v>#REF!</v>
      </c>
      <c r="M244" s="13" t="e">
        <f>IF(K244&gt;J244,G244^2*#REF!*D244*$B$5,0)</f>
        <v>#REF!</v>
      </c>
    </row>
    <row r="245" spans="2:13" x14ac:dyDescent="0.25">
      <c r="B245" s="2">
        <v>11</v>
      </c>
      <c r="C245" s="2" t="e">
        <f>#REF!</f>
        <v>#REF!</v>
      </c>
      <c r="D245" s="12" t="e">
        <f>IF(B245=1,#REF!,IF(B245=2,#REF!,IF(B245=3,#REF!,IF(B245=4,#REF!,IF(B245=5,#REF!,IF(B245=6,#REF!,IF(B245=7,#REF!,IF(B245=8,#REF!, IF(B245=9,#REF!,IF(B245=10,#REF!,IF(B245=11,#REF!,”Error”)))))))))))</f>
        <v>#REF!</v>
      </c>
      <c r="E245" s="12" t="e">
        <f>IF(#REF!="Si",1,IF(#REF!="No",0))</f>
        <v>#REF!</v>
      </c>
      <c r="F245" s="12" t="e">
        <f>IF(#REF!="Trifásico",3,IF(#REF!="Monofásico trifilar",2,IF(#REF!="Monofásico bifilar",1)))</f>
        <v>#REF!</v>
      </c>
      <c r="G245" s="22" t="e">
        <f>IF(#REF!="Trifásico",(#REF!)/(SQRT(3)*#REF!),IF(#REF!="Monofásico trifilar",(#REF!)/(#REF!),IF(#REF!="Monofásico bifilar",(#REF!)/(#REF!))))*(1+#REF!)</f>
        <v>#REF!</v>
      </c>
      <c r="H245" s="9" t="e">
        <f>IF(F245=3,#REF!*3*((Costos!G245/#REF!)^2)*#REF!*Costos!D245*Costos!$B$4,IF(F245=2,#REF!*2*((Costos!G245/#REF!)^2)*#REF!*Costos!D245*Costos!$B$4,IF(F245=1,#REF!*((Costos!G245/#REF!)^2)*#REF!*Costos!D245*Costos!$B$4,"error")))</f>
        <v>#REF!</v>
      </c>
      <c r="I245" s="9" t="e">
        <f>#REF!*#REF!*#REF!*1000</f>
        <v>#REF!</v>
      </c>
      <c r="J245" s="72" t="e">
        <f t="shared" si="3"/>
        <v>#REF!</v>
      </c>
      <c r="K245" s="72" t="e">
        <f>IF(#REF!&gt;57.5,#REF!,IF(#REF!&gt;29.99999999,#REF!,IF(#REF!&gt;0.9999999999,#REF!,IF(#REF!&gt;0.000000001,#REF!,"Error"))))</f>
        <v>#REF!</v>
      </c>
      <c r="L245" s="13" t="e">
        <f>IF(K245&gt;J245,(1+E245*0.04)*#REF!*D245,0)</f>
        <v>#REF!</v>
      </c>
      <c r="M245" s="13" t="e">
        <f>IF(K245&gt;J245,G245^2*#REF!*D245*$B$5,0)</f>
        <v>#REF!</v>
      </c>
    </row>
    <row r="246" spans="2:13" x14ac:dyDescent="0.25">
      <c r="B246" s="2">
        <v>11</v>
      </c>
      <c r="C246" s="2" t="e">
        <f>#REF!</f>
        <v>#REF!</v>
      </c>
      <c r="D246" s="12" t="e">
        <f>IF(B246=1,#REF!,IF(B246=2,#REF!,IF(B246=3,#REF!,IF(B246=4,#REF!,IF(B246=5,#REF!,IF(B246=6,#REF!,IF(B246=7,#REF!,IF(B246=8,#REF!, IF(B246=9,#REF!,IF(B246=10,#REF!,IF(B246=11,#REF!,”Error”)))))))))))</f>
        <v>#REF!</v>
      </c>
      <c r="E246" s="12" t="e">
        <f>IF(#REF!="Si",1,IF(#REF!="No",0))</f>
        <v>#REF!</v>
      </c>
      <c r="F246" s="12" t="e">
        <f>IF(#REF!="Trifásico",3,IF(#REF!="Monofásico trifilar",2,IF(#REF!="Monofásico bifilar",1)))</f>
        <v>#REF!</v>
      </c>
      <c r="G246" s="22" t="e">
        <f>IF(#REF!="Trifásico",(#REF!)/(SQRT(3)*#REF!),IF(#REF!="Monofásico trifilar",(#REF!)/(#REF!),IF(#REF!="Monofásico bifilar",(#REF!)/(#REF!))))*(1+#REF!)</f>
        <v>#REF!</v>
      </c>
      <c r="H246" s="9" t="e">
        <f>IF(F246=3,#REF!*3*((Costos!G246/#REF!)^2)*#REF!*Costos!D246*Costos!$B$4,IF(F246=2,#REF!*2*((Costos!G246/#REF!)^2)*#REF!*Costos!D246*Costos!$B$4,IF(F246=1,#REF!*((Costos!G246/#REF!)^2)*#REF!*Costos!D246*Costos!$B$4,"error")))</f>
        <v>#REF!</v>
      </c>
      <c r="I246" s="9" t="e">
        <f>#REF!*#REF!*#REF!*1000</f>
        <v>#REF!</v>
      </c>
      <c r="J246" s="72" t="e">
        <f t="shared" si="3"/>
        <v>#REF!</v>
      </c>
      <c r="K246" s="72" t="e">
        <f>IF(#REF!&gt;57.5,#REF!,IF(#REF!&gt;29.99999999,#REF!,IF(#REF!&gt;0.9999999999,#REF!,IF(#REF!&gt;0.000000001,#REF!,"Error"))))</f>
        <v>#REF!</v>
      </c>
      <c r="L246" s="13" t="e">
        <f>IF(K246&gt;J246,(1+E246*0.04)*#REF!*D246,0)</f>
        <v>#REF!</v>
      </c>
      <c r="M246" s="13" t="e">
        <f>IF(K246&gt;J246,G246^2*#REF!*D246*$B$5,0)</f>
        <v>#REF!</v>
      </c>
    </row>
    <row r="247" spans="2:13" x14ac:dyDescent="0.25">
      <c r="B247" s="2">
        <v>11</v>
      </c>
      <c r="C247" s="2" t="e">
        <f>#REF!</f>
        <v>#REF!</v>
      </c>
      <c r="D247" s="12" t="e">
        <f>IF(B247=1,#REF!,IF(B247=2,#REF!,IF(B247=3,#REF!,IF(B247=4,#REF!,IF(B247=5,#REF!,IF(B247=6,#REF!,IF(B247=7,#REF!,IF(B247=8,#REF!, IF(B247=9,#REF!,IF(B247=10,#REF!,IF(B247=11,#REF!,”Error”)))))))))))</f>
        <v>#REF!</v>
      </c>
      <c r="E247" s="12" t="e">
        <f>IF(#REF!="Si",1,IF(#REF!="No",0))</f>
        <v>#REF!</v>
      </c>
      <c r="F247" s="12" t="e">
        <f>IF(#REF!="Trifásico",3,IF(#REF!="Monofásico trifilar",2,IF(#REF!="Monofásico bifilar",1)))</f>
        <v>#REF!</v>
      </c>
      <c r="G247" s="22" t="e">
        <f>IF(#REF!="Trifásico",(#REF!)/(SQRT(3)*#REF!),IF(#REF!="Monofásico trifilar",(#REF!)/(#REF!),IF(#REF!="Monofásico bifilar",(#REF!)/(#REF!))))*(1+#REF!)</f>
        <v>#REF!</v>
      </c>
      <c r="H247" s="9" t="e">
        <f>IF(F247=3,#REF!*3*((Costos!G247/#REF!)^2)*#REF!*Costos!D247*Costos!$B$4,IF(F247=2,#REF!*2*((Costos!G247/#REF!)^2)*#REF!*Costos!D247*Costos!$B$4,IF(F247=1,#REF!*((Costos!G247/#REF!)^2)*#REF!*Costos!D247*Costos!$B$4,"error")))</f>
        <v>#REF!</v>
      </c>
      <c r="I247" s="9" t="e">
        <f>#REF!*#REF!*#REF!*1000</f>
        <v>#REF!</v>
      </c>
      <c r="J247" s="72" t="e">
        <f t="shared" si="3"/>
        <v>#REF!</v>
      </c>
      <c r="K247" s="72" t="e">
        <f>IF(#REF!&gt;57.5,#REF!,IF(#REF!&gt;29.99999999,#REF!,IF(#REF!&gt;0.9999999999,#REF!,IF(#REF!&gt;0.000000001,#REF!,"Error"))))</f>
        <v>#REF!</v>
      </c>
      <c r="L247" s="13" t="e">
        <f>IF(K247&gt;J247,(1+E247*0.04)*#REF!*D247,0)</f>
        <v>#REF!</v>
      </c>
      <c r="M247" s="13" t="e">
        <f>IF(K247&gt;J247,G247^2*#REF!*D247*$B$5,0)</f>
        <v>#REF!</v>
      </c>
    </row>
    <row r="248" spans="2:13" x14ac:dyDescent="0.25">
      <c r="B248" s="2">
        <v>11</v>
      </c>
      <c r="C248" s="2" t="e">
        <f>#REF!</f>
        <v>#REF!</v>
      </c>
      <c r="D248" s="12" t="e">
        <f>IF(B248=1,#REF!,IF(B248=2,#REF!,IF(B248=3,#REF!,IF(B248=4,#REF!,IF(B248=5,#REF!,IF(B248=6,#REF!,IF(B248=7,#REF!,IF(B248=8,#REF!, IF(B248=9,#REF!,IF(B248=10,#REF!,IF(B248=11,#REF!,”Error”)))))))))))</f>
        <v>#REF!</v>
      </c>
      <c r="E248" s="12" t="e">
        <f>IF(#REF!="Si",1,IF(#REF!="No",0))</f>
        <v>#REF!</v>
      </c>
      <c r="F248" s="12" t="e">
        <f>IF(#REF!="Trifásico",3,IF(#REF!="Monofásico trifilar",2,IF(#REF!="Monofásico bifilar",1)))</f>
        <v>#REF!</v>
      </c>
      <c r="G248" s="22" t="e">
        <f>IF(#REF!="Trifásico",(#REF!)/(SQRT(3)*#REF!),IF(#REF!="Monofásico trifilar",(#REF!)/(#REF!),IF(#REF!="Monofásico bifilar",(#REF!)/(#REF!))))*(1+#REF!)</f>
        <v>#REF!</v>
      </c>
      <c r="H248" s="9" t="e">
        <f>IF(F248=3,#REF!*3*((Costos!G248/#REF!)^2)*#REF!*Costos!D248*Costos!$B$4,IF(F248=2,#REF!*2*((Costos!G248/#REF!)^2)*#REF!*Costos!D248*Costos!$B$4,IF(F248=1,#REF!*((Costos!G248/#REF!)^2)*#REF!*Costos!D248*Costos!$B$4,"error")))</f>
        <v>#REF!</v>
      </c>
      <c r="I248" s="9" t="e">
        <f>#REF!*#REF!*#REF!*1000</f>
        <v>#REF!</v>
      </c>
      <c r="J248" s="72" t="e">
        <f t="shared" si="3"/>
        <v>#REF!</v>
      </c>
      <c r="K248" s="72" t="e">
        <f>IF(#REF!&gt;57.5,#REF!,IF(#REF!&gt;29.99999999,#REF!,IF(#REF!&gt;0.9999999999,#REF!,IF(#REF!&gt;0.000000001,#REF!,"Error"))))</f>
        <v>#REF!</v>
      </c>
      <c r="L248" s="13" t="e">
        <f>IF(K248&gt;J248,(1+E248*0.04)*#REF!*D248,0)</f>
        <v>#REF!</v>
      </c>
      <c r="M248" s="13" t="e">
        <f>IF(K248&gt;J248,G248^2*#REF!*D248*$B$5,0)</f>
        <v>#REF!</v>
      </c>
    </row>
    <row r="249" spans="2:13" x14ac:dyDescent="0.25">
      <c r="B249" s="2">
        <v>11</v>
      </c>
      <c r="C249" s="2" t="e">
        <f>#REF!</f>
        <v>#REF!</v>
      </c>
      <c r="D249" s="12" t="e">
        <f>IF(B249=1,#REF!,IF(B249=2,#REF!,IF(B249=3,#REF!,IF(B249=4,#REF!,IF(B249=5,#REF!,IF(B249=6,#REF!,IF(B249=7,#REF!,IF(B249=8,#REF!, IF(B249=9,#REF!,IF(B249=10,#REF!,IF(B249=11,#REF!,”Error”)))))))))))</f>
        <v>#REF!</v>
      </c>
      <c r="E249" s="12" t="e">
        <f>IF(#REF!="Si",1,IF(#REF!="No",0))</f>
        <v>#REF!</v>
      </c>
      <c r="F249" s="12" t="e">
        <f>IF(#REF!="Trifásico",3,IF(#REF!="Monofásico trifilar",2,IF(#REF!="Monofásico bifilar",1)))</f>
        <v>#REF!</v>
      </c>
      <c r="G249" s="22" t="e">
        <f>IF(#REF!="Trifásico",(#REF!)/(SQRT(3)*#REF!),IF(#REF!="Monofásico trifilar",(#REF!)/(#REF!),IF(#REF!="Monofásico bifilar",(#REF!)/(#REF!))))*(1+#REF!)</f>
        <v>#REF!</v>
      </c>
      <c r="H249" s="9" t="e">
        <f>IF(F249=3,#REF!*3*((Costos!G249/#REF!)^2)*#REF!*Costos!D249*Costos!$B$4,IF(F249=2,#REF!*2*((Costos!G249/#REF!)^2)*#REF!*Costos!D249*Costos!$B$4,IF(F249=1,#REF!*((Costos!G249/#REF!)^2)*#REF!*Costos!D249*Costos!$B$4,"error")))</f>
        <v>#REF!</v>
      </c>
      <c r="I249" s="9" t="e">
        <f>#REF!*#REF!*#REF!*1000</f>
        <v>#REF!</v>
      </c>
      <c r="J249" s="72" t="e">
        <f t="shared" si="3"/>
        <v>#REF!</v>
      </c>
      <c r="K249" s="72" t="e">
        <f>IF(#REF!&gt;57.5,#REF!,IF(#REF!&gt;29.99999999,#REF!,IF(#REF!&gt;0.9999999999,#REF!,IF(#REF!&gt;0.000000001,#REF!,"Error"))))</f>
        <v>#REF!</v>
      </c>
      <c r="L249" s="13" t="e">
        <f>IF(K249&gt;J249,(1+E249*0.04)*#REF!*D249,0)</f>
        <v>#REF!</v>
      </c>
      <c r="M249" s="13" t="e">
        <f>IF(K249&gt;J249,G249^2*#REF!*D249*$B$5,0)</f>
        <v>#REF!</v>
      </c>
    </row>
    <row r="250" spans="2:13" x14ac:dyDescent="0.25">
      <c r="B250" s="2">
        <v>11</v>
      </c>
      <c r="C250" s="2" t="e">
        <f>#REF!</f>
        <v>#REF!</v>
      </c>
      <c r="D250" s="12" t="e">
        <f>IF(B250=1,#REF!,IF(B250=2,#REF!,IF(B250=3,#REF!,IF(B250=4,#REF!,IF(B250=5,#REF!,IF(B250=6,#REF!,IF(B250=7,#REF!,IF(B250=8,#REF!, IF(B250=9,#REF!,IF(B250=10,#REF!,IF(B250=11,#REF!,”Error”)))))))))))</f>
        <v>#REF!</v>
      </c>
      <c r="E250" s="12" t="e">
        <f>IF(#REF!="Si",1,IF(#REF!="No",0))</f>
        <v>#REF!</v>
      </c>
      <c r="F250" s="12" t="e">
        <f>IF(#REF!="Trifásico",3,IF(#REF!="Monofásico trifilar",2,IF(#REF!="Monofásico bifilar",1)))</f>
        <v>#REF!</v>
      </c>
      <c r="G250" s="22" t="e">
        <f>IF(#REF!="Trifásico",(#REF!)/(SQRT(3)*#REF!),IF(#REF!="Monofásico trifilar",(#REF!)/(#REF!),IF(#REF!="Monofásico bifilar",(#REF!)/(#REF!))))*(1+#REF!)</f>
        <v>#REF!</v>
      </c>
      <c r="H250" s="9" t="e">
        <f>IF(F250=3,#REF!*3*((Costos!G250/#REF!)^2)*#REF!*Costos!D250*Costos!$B$4,IF(F250=2,#REF!*2*((Costos!G250/#REF!)^2)*#REF!*Costos!D250*Costos!$B$4,IF(F250=1,#REF!*((Costos!G250/#REF!)^2)*#REF!*Costos!D250*Costos!$B$4,"error")))</f>
        <v>#REF!</v>
      </c>
      <c r="I250" s="9" t="e">
        <f>#REF!*#REF!*#REF!*1000</f>
        <v>#REF!</v>
      </c>
      <c r="J250" s="72" t="e">
        <f t="shared" si="3"/>
        <v>#REF!</v>
      </c>
      <c r="K250" s="72" t="e">
        <f>IF(#REF!&gt;57.5,#REF!,IF(#REF!&gt;29.99999999,#REF!,IF(#REF!&gt;0.9999999999,#REF!,IF(#REF!&gt;0.000000001,#REF!,"Error"))))</f>
        <v>#REF!</v>
      </c>
      <c r="L250" s="13" t="e">
        <f>IF(K250&gt;J250,(1+E250*0.04)*#REF!*D250,0)</f>
        <v>#REF!</v>
      </c>
      <c r="M250" s="13" t="e">
        <f>IF(K250&gt;J250,G250^2*#REF!*D250*$B$5,0)</f>
        <v>#REF!</v>
      </c>
    </row>
    <row r="251" spans="2:13" x14ac:dyDescent="0.25">
      <c r="B251" s="2">
        <v>11</v>
      </c>
      <c r="C251" s="2" t="e">
        <f>#REF!</f>
        <v>#REF!</v>
      </c>
      <c r="D251" s="12" t="e">
        <f>IF(B251=1,#REF!,IF(B251=2,#REF!,IF(B251=3,#REF!,IF(B251=4,#REF!,IF(B251=5,#REF!,IF(B251=6,#REF!,IF(B251=7,#REF!,IF(B251=8,#REF!, IF(B251=9,#REF!,IF(B251=10,#REF!,IF(B251=11,#REF!,”Error”)))))))))))</f>
        <v>#REF!</v>
      </c>
      <c r="E251" s="12" t="e">
        <f>IF(#REF!="Si",1,IF(#REF!="No",0))</f>
        <v>#REF!</v>
      </c>
      <c r="F251" s="12" t="e">
        <f>IF(#REF!="Trifásico",3,IF(#REF!="Monofásico trifilar",2,IF(#REF!="Monofásico bifilar",1)))</f>
        <v>#REF!</v>
      </c>
      <c r="G251" s="22" t="e">
        <f>IF(#REF!="Trifásico",(#REF!)/(SQRT(3)*#REF!),IF(#REF!="Monofásico trifilar",(#REF!)/(#REF!),IF(#REF!="Monofásico bifilar",(#REF!)/(#REF!))))*(1+#REF!)</f>
        <v>#REF!</v>
      </c>
      <c r="H251" s="9" t="e">
        <f>IF(F251=3,#REF!*3*((Costos!G251/#REF!)^2)*#REF!*Costos!D251*Costos!$B$4,IF(F251=2,#REF!*2*((Costos!G251/#REF!)^2)*#REF!*Costos!D251*Costos!$B$4,IF(F251=1,#REF!*((Costos!G251/#REF!)^2)*#REF!*Costos!D251*Costos!$B$4,"error")))</f>
        <v>#REF!</v>
      </c>
      <c r="I251" s="9" t="e">
        <f>#REF!*#REF!*#REF!*1000</f>
        <v>#REF!</v>
      </c>
      <c r="J251" s="72" t="e">
        <f t="shared" si="3"/>
        <v>#REF!</v>
      </c>
      <c r="K251" s="72" t="e">
        <f>IF(#REF!&gt;57.5,#REF!,IF(#REF!&gt;29.99999999,#REF!,IF(#REF!&gt;0.9999999999,#REF!,IF(#REF!&gt;0.000000001,#REF!,"Error"))))</f>
        <v>#REF!</v>
      </c>
      <c r="L251" s="13" t="e">
        <f>IF(K251&gt;J251,(1+E251*0.04)*#REF!*D251,0)</f>
        <v>#REF!</v>
      </c>
      <c r="M251" s="13" t="e">
        <f>IF(K251&gt;J251,G251^2*#REF!*D251*$B$5,0)</f>
        <v>#REF!</v>
      </c>
    </row>
    <row r="252" spans="2:13" x14ac:dyDescent="0.25">
      <c r="B252" s="2">
        <v>11</v>
      </c>
      <c r="C252" s="2" t="e">
        <f>#REF!</f>
        <v>#REF!</v>
      </c>
      <c r="D252" s="12" t="e">
        <f>IF(B252=1,#REF!,IF(B252=2,#REF!,IF(B252=3,#REF!,IF(B252=4,#REF!,IF(B252=5,#REF!,IF(B252=6,#REF!,IF(B252=7,#REF!,IF(B252=8,#REF!, IF(B252=9,#REF!,IF(B252=10,#REF!,IF(B252=11,#REF!,”Error”)))))))))))</f>
        <v>#REF!</v>
      </c>
      <c r="E252" s="12" t="e">
        <f>IF(#REF!="Si",1,IF(#REF!="No",0))</f>
        <v>#REF!</v>
      </c>
      <c r="F252" s="12" t="e">
        <f>IF(#REF!="Trifásico",3,IF(#REF!="Monofásico trifilar",2,IF(#REF!="Monofásico bifilar",1)))</f>
        <v>#REF!</v>
      </c>
      <c r="G252" s="22" t="e">
        <f>IF(#REF!="Trifásico",(#REF!)/(SQRT(3)*#REF!),IF(#REF!="Monofásico trifilar",(#REF!)/(#REF!),IF(#REF!="Monofásico bifilar",(#REF!)/(#REF!))))*(1+#REF!)</f>
        <v>#REF!</v>
      </c>
      <c r="H252" s="9" t="e">
        <f>IF(F252=3,#REF!*3*((Costos!G252/#REF!)^2)*#REF!*Costos!D252*Costos!$B$4,IF(F252=2,#REF!*2*((Costos!G252/#REF!)^2)*#REF!*Costos!D252*Costos!$B$4,IF(F252=1,#REF!*((Costos!G252/#REF!)^2)*#REF!*Costos!D252*Costos!$B$4,"error")))</f>
        <v>#REF!</v>
      </c>
      <c r="I252" s="9" t="e">
        <f>#REF!*#REF!*#REF!*1000</f>
        <v>#REF!</v>
      </c>
      <c r="J252" s="72" t="e">
        <f t="shared" si="3"/>
        <v>#REF!</v>
      </c>
      <c r="K252" s="72" t="e">
        <f>IF(#REF!&gt;57.5,#REF!,IF(#REF!&gt;29.99999999,#REF!,IF(#REF!&gt;0.9999999999,#REF!,IF(#REF!&gt;0.000000001,#REF!,"Error"))))</f>
        <v>#REF!</v>
      </c>
      <c r="L252" s="13" t="e">
        <f>IF(K252&gt;J252,(1+E252*0.04)*#REF!*D252,0)</f>
        <v>#REF!</v>
      </c>
      <c r="M252" s="13" t="e">
        <f>IF(K252&gt;J252,G252^2*#REF!*D252*$B$5,0)</f>
        <v>#REF!</v>
      </c>
    </row>
    <row r="253" spans="2:13" x14ac:dyDescent="0.25">
      <c r="B253" s="2">
        <v>11</v>
      </c>
      <c r="C253" s="2" t="e">
        <f>#REF!</f>
        <v>#REF!</v>
      </c>
      <c r="D253" s="12" t="e">
        <f>IF(B253=1,#REF!,IF(B253=2,#REF!,IF(B253=3,#REF!,IF(B253=4,#REF!,IF(B253=5,#REF!,IF(B253=6,#REF!,IF(B253=7,#REF!,IF(B253=8,#REF!, IF(B253=9,#REF!,IF(B253=10,#REF!,IF(B253=11,#REF!,”Error”)))))))))))</f>
        <v>#REF!</v>
      </c>
      <c r="E253" s="12" t="e">
        <f>IF(#REF!="Si",1,IF(#REF!="No",0))</f>
        <v>#REF!</v>
      </c>
      <c r="F253" s="12" t="e">
        <f>IF(#REF!="Trifásico",3,IF(#REF!="Monofásico trifilar",2,IF(#REF!="Monofásico bifilar",1)))</f>
        <v>#REF!</v>
      </c>
      <c r="G253" s="22" t="e">
        <f>IF(#REF!="Trifásico",(#REF!)/(SQRT(3)*#REF!),IF(#REF!="Monofásico trifilar",(#REF!)/(#REF!),IF(#REF!="Monofásico bifilar",(#REF!)/(#REF!))))*(1+#REF!)</f>
        <v>#REF!</v>
      </c>
      <c r="H253" s="9" t="e">
        <f>IF(F253=3,#REF!*3*((Costos!G253/#REF!)^2)*#REF!*Costos!D253*Costos!$B$4,IF(F253=2,#REF!*2*((Costos!G253/#REF!)^2)*#REF!*Costos!D253*Costos!$B$4,IF(F253=1,#REF!*((Costos!G253/#REF!)^2)*#REF!*Costos!D253*Costos!$B$4,"error")))</f>
        <v>#REF!</v>
      </c>
      <c r="I253" s="9" t="e">
        <f>#REF!*#REF!*#REF!*1000</f>
        <v>#REF!</v>
      </c>
      <c r="J253" s="72" t="e">
        <f t="shared" si="3"/>
        <v>#REF!</v>
      </c>
      <c r="K253" s="72" t="e">
        <f>IF(#REF!&gt;57.5,#REF!,IF(#REF!&gt;29.99999999,#REF!,IF(#REF!&gt;0.9999999999,#REF!,IF(#REF!&gt;0.000000001,#REF!,"Error"))))</f>
        <v>#REF!</v>
      </c>
      <c r="L253" s="13" t="e">
        <f>IF(K253&gt;J253,(1+E253*0.04)*#REF!*D253,0)</f>
        <v>#REF!</v>
      </c>
      <c r="M253" s="13" t="e">
        <f>IF(K253&gt;J253,G253^2*#REF!*D253*$B$5,0)</f>
        <v>#REF!</v>
      </c>
    </row>
    <row r="254" spans="2:13" x14ac:dyDescent="0.25">
      <c r="B254" s="2">
        <v>11</v>
      </c>
      <c r="C254" s="2" t="e">
        <f>#REF!</f>
        <v>#REF!</v>
      </c>
      <c r="D254" s="12" t="e">
        <f>IF(B254=1,#REF!,IF(B254=2,#REF!,IF(B254=3,#REF!,IF(B254=4,#REF!,IF(B254=5,#REF!,IF(B254=6,#REF!,IF(B254=7,#REF!,IF(B254=8,#REF!, IF(B254=9,#REF!,IF(B254=10,#REF!,IF(B254=11,#REF!,”Error”)))))))))))</f>
        <v>#REF!</v>
      </c>
      <c r="E254" s="12" t="e">
        <f>IF(#REF!="Si",1,IF(#REF!="No",0))</f>
        <v>#REF!</v>
      </c>
      <c r="F254" s="12" t="e">
        <f>IF(#REF!="Trifásico",3,IF(#REF!="Monofásico trifilar",2,IF(#REF!="Monofásico bifilar",1)))</f>
        <v>#REF!</v>
      </c>
      <c r="G254" s="22" t="e">
        <f>IF(#REF!="Trifásico",(#REF!)/(SQRT(3)*#REF!),IF(#REF!="Monofásico trifilar",(#REF!)/(#REF!),IF(#REF!="Monofásico bifilar",(#REF!)/(#REF!))))*(1+#REF!)</f>
        <v>#REF!</v>
      </c>
      <c r="H254" s="9" t="e">
        <f>IF(F254=3,#REF!*3*((Costos!G254/#REF!)^2)*#REF!*Costos!D254*Costos!$B$4,IF(F254=2,#REF!*2*((Costos!G254/#REF!)^2)*#REF!*Costos!D254*Costos!$B$4,IF(F254=1,#REF!*((Costos!G254/#REF!)^2)*#REF!*Costos!D254*Costos!$B$4,"error")))</f>
        <v>#REF!</v>
      </c>
      <c r="I254" s="9" t="e">
        <f>#REF!*#REF!*#REF!*1000</f>
        <v>#REF!</v>
      </c>
      <c r="J254" s="72" t="e">
        <f t="shared" si="3"/>
        <v>#REF!</v>
      </c>
      <c r="K254" s="72" t="e">
        <f>IF(#REF!&gt;57.5,#REF!,IF(#REF!&gt;29.99999999,#REF!,IF(#REF!&gt;0.9999999999,#REF!,IF(#REF!&gt;0.000000001,#REF!,"Error"))))</f>
        <v>#REF!</v>
      </c>
      <c r="L254" s="13" t="e">
        <f>IF(K254&gt;J254,(1+E254*0.04)*#REF!*D254,0)</f>
        <v>#REF!</v>
      </c>
      <c r="M254" s="13" t="e">
        <f>IF(K254&gt;J254,G254^2*#REF!*D254*$B$5,0)</f>
        <v>#REF!</v>
      </c>
    </row>
    <row r="255" spans="2:13" x14ac:dyDescent="0.25">
      <c r="B255" s="2">
        <v>11</v>
      </c>
      <c r="C255" s="2" t="e">
        <f>#REF!</f>
        <v>#REF!</v>
      </c>
      <c r="D255" s="12" t="e">
        <f>IF(B255=1,#REF!,IF(B255=2,#REF!,IF(B255=3,#REF!,IF(B255=4,#REF!,IF(B255=5,#REF!,IF(B255=6,#REF!,IF(B255=7,#REF!,IF(B255=8,#REF!, IF(B255=9,#REF!,IF(B255=10,#REF!,IF(B255=11,#REF!,”Error”)))))))))))</f>
        <v>#REF!</v>
      </c>
      <c r="E255" s="12" t="e">
        <f>IF(#REF!="Si",1,IF(#REF!="No",0))</f>
        <v>#REF!</v>
      </c>
      <c r="F255" s="12" t="e">
        <f>IF(#REF!="Trifásico",3,IF(#REF!="Monofásico trifilar",2,IF(#REF!="Monofásico bifilar",1)))</f>
        <v>#REF!</v>
      </c>
      <c r="G255" s="22" t="e">
        <f>IF(#REF!="Trifásico",(#REF!)/(SQRT(3)*#REF!),IF(#REF!="Monofásico trifilar",(#REF!)/(#REF!),IF(#REF!="Monofásico bifilar",(#REF!)/(#REF!))))*(1+#REF!)</f>
        <v>#REF!</v>
      </c>
      <c r="H255" s="9" t="e">
        <f>IF(F255=3,#REF!*3*((Costos!G255/#REF!)^2)*#REF!*Costos!D255*Costos!$B$4,IF(F255=2,#REF!*2*((Costos!G255/#REF!)^2)*#REF!*Costos!D255*Costos!$B$4,IF(F255=1,#REF!*((Costos!G255/#REF!)^2)*#REF!*Costos!D255*Costos!$B$4,"error")))</f>
        <v>#REF!</v>
      </c>
      <c r="I255" s="9" t="e">
        <f>#REF!*#REF!*#REF!*1000</f>
        <v>#REF!</v>
      </c>
      <c r="J255" s="72" t="e">
        <f t="shared" si="3"/>
        <v>#REF!</v>
      </c>
      <c r="K255" s="72" t="e">
        <f>IF(#REF!&gt;57.5,#REF!,IF(#REF!&gt;29.99999999,#REF!,IF(#REF!&gt;0.9999999999,#REF!,IF(#REF!&gt;0.000000001,#REF!,"Error"))))</f>
        <v>#REF!</v>
      </c>
      <c r="L255" s="13" t="e">
        <f>IF(K255&gt;J255,(1+E255*0.04)*#REF!*D255,0)</f>
        <v>#REF!</v>
      </c>
      <c r="M255" s="13" t="e">
        <f>IF(K255&gt;J255,G255^2*#REF!*D255*$B$5,0)</f>
        <v>#REF!</v>
      </c>
    </row>
    <row r="256" spans="2:13" x14ac:dyDescent="0.25">
      <c r="B256" s="2">
        <v>11</v>
      </c>
      <c r="C256" s="2" t="e">
        <f>#REF!</f>
        <v>#REF!</v>
      </c>
      <c r="D256" s="12" t="e">
        <f>IF(B256=1,#REF!,IF(B256=2,#REF!,IF(B256=3,#REF!,IF(B256=4,#REF!,IF(B256=5,#REF!,IF(B256=6,#REF!,IF(B256=7,#REF!,IF(B256=8,#REF!, IF(B256=9,#REF!,IF(B256=10,#REF!,IF(B256=11,#REF!,”Error”)))))))))))</f>
        <v>#REF!</v>
      </c>
      <c r="E256" s="12" t="e">
        <f>IF(#REF!="Si",1,IF(#REF!="No",0))</f>
        <v>#REF!</v>
      </c>
      <c r="F256" s="12" t="e">
        <f>IF(#REF!="Trifásico",3,IF(#REF!="Monofásico trifilar",2,IF(#REF!="Monofásico bifilar",1)))</f>
        <v>#REF!</v>
      </c>
      <c r="G256" s="22" t="e">
        <f>IF(#REF!="Trifásico",(#REF!)/(SQRT(3)*#REF!),IF(#REF!="Monofásico trifilar",(#REF!)/(#REF!),IF(#REF!="Monofásico bifilar",(#REF!)/(#REF!))))*(1+#REF!)</f>
        <v>#REF!</v>
      </c>
      <c r="H256" s="9" t="e">
        <f>IF(F256=3,#REF!*3*((Costos!G256/#REF!)^2)*#REF!*Costos!D256*Costos!$B$4,IF(F256=2,#REF!*2*((Costos!G256/#REF!)^2)*#REF!*Costos!D256*Costos!$B$4,IF(F256=1,#REF!*((Costos!G256/#REF!)^2)*#REF!*Costos!D256*Costos!$B$4,"error")))</f>
        <v>#REF!</v>
      </c>
      <c r="I256" s="9" t="e">
        <f>#REF!*#REF!*#REF!*1000</f>
        <v>#REF!</v>
      </c>
      <c r="J256" s="72" t="e">
        <f t="shared" si="3"/>
        <v>#REF!</v>
      </c>
      <c r="K256" s="72" t="e">
        <f>IF(#REF!&gt;57.5,#REF!,IF(#REF!&gt;29.99999999,#REF!,IF(#REF!&gt;0.9999999999,#REF!,IF(#REF!&gt;0.000000001,#REF!,"Error"))))</f>
        <v>#REF!</v>
      </c>
      <c r="L256" s="13" t="e">
        <f>IF(K256&gt;J256,(1+E256*0.04)*#REF!*D256,0)</f>
        <v>#REF!</v>
      </c>
      <c r="M256" s="13" t="e">
        <f>IF(K256&gt;J256,G256^2*#REF!*D256*$B$5,0)</f>
        <v>#REF!</v>
      </c>
    </row>
    <row r="257" spans="2:13" x14ac:dyDescent="0.25">
      <c r="B257" s="2">
        <v>11</v>
      </c>
      <c r="C257" s="2" t="e">
        <f>#REF!</f>
        <v>#REF!</v>
      </c>
      <c r="D257" s="12" t="e">
        <f>IF(B257=1,#REF!,IF(B257=2,#REF!,IF(B257=3,#REF!,IF(B257=4,#REF!,IF(B257=5,#REF!,IF(B257=6,#REF!,IF(B257=7,#REF!,IF(B257=8,#REF!, IF(B257=9,#REF!,IF(B257=10,#REF!,IF(B257=11,#REF!,”Error”)))))))))))</f>
        <v>#REF!</v>
      </c>
      <c r="E257" s="12" t="e">
        <f>IF(#REF!="Si",1,IF(#REF!="No",0))</f>
        <v>#REF!</v>
      </c>
      <c r="F257" s="12" t="e">
        <f>IF(#REF!="Trifásico",3,IF(#REF!="Monofásico trifilar",2,IF(#REF!="Monofásico bifilar",1)))</f>
        <v>#REF!</v>
      </c>
      <c r="G257" s="22" t="e">
        <f>IF(#REF!="Trifásico",(#REF!)/(SQRT(3)*#REF!),IF(#REF!="Monofásico trifilar",(#REF!)/(#REF!),IF(#REF!="Monofásico bifilar",(#REF!)/(#REF!))))*(1+#REF!)</f>
        <v>#REF!</v>
      </c>
      <c r="H257" s="9" t="e">
        <f>IF(F257=3,#REF!*3*((Costos!G257/#REF!)^2)*#REF!*Costos!D257*Costos!$B$4,IF(F257=2,#REF!*2*((Costos!G257/#REF!)^2)*#REF!*Costos!D257*Costos!$B$4,IF(F257=1,#REF!*((Costos!G257/#REF!)^2)*#REF!*Costos!D257*Costos!$B$4,"error")))</f>
        <v>#REF!</v>
      </c>
      <c r="I257" s="9" t="e">
        <f>#REF!*#REF!*#REF!*1000</f>
        <v>#REF!</v>
      </c>
      <c r="J257" s="72" t="e">
        <f t="shared" si="3"/>
        <v>#REF!</v>
      </c>
      <c r="K257" s="72" t="e">
        <f>IF(#REF!&gt;57.5,#REF!,IF(#REF!&gt;29.99999999,#REF!,IF(#REF!&gt;0.9999999999,#REF!,IF(#REF!&gt;0.000000001,#REF!,"Error"))))</f>
        <v>#REF!</v>
      </c>
      <c r="L257" s="13" t="e">
        <f>IF(K257&gt;J257,(1+E257*0.04)*#REF!*D257,0)</f>
        <v>#REF!</v>
      </c>
      <c r="M257" s="13" t="e">
        <f>IF(K257&gt;J257,G257^2*#REF!*D257*$B$5,0)</f>
        <v>#REF!</v>
      </c>
    </row>
    <row r="258" spans="2:13" x14ac:dyDescent="0.25">
      <c r="B258" s="2">
        <v>11</v>
      </c>
      <c r="C258" s="2" t="e">
        <f>#REF!</f>
        <v>#REF!</v>
      </c>
      <c r="D258" s="12" t="e">
        <f>IF(B258=1,#REF!,IF(B258=2,#REF!,IF(B258=3,#REF!,IF(B258=4,#REF!,IF(B258=5,#REF!,IF(B258=6,#REF!,IF(B258=7,#REF!,IF(B258=8,#REF!, IF(B258=9,#REF!,IF(B258=10,#REF!,IF(B258=11,#REF!,”Error”)))))))))))</f>
        <v>#REF!</v>
      </c>
      <c r="E258" s="12" t="e">
        <f>IF(#REF!="Si",1,IF(#REF!="No",0))</f>
        <v>#REF!</v>
      </c>
      <c r="F258" s="12" t="e">
        <f>IF(#REF!="Trifásico",3,IF(#REF!="Monofásico trifilar",2,IF(#REF!="Monofásico bifilar",1)))</f>
        <v>#REF!</v>
      </c>
      <c r="G258" s="22" t="e">
        <f>IF(#REF!="Trifásico",(#REF!)/(SQRT(3)*#REF!),IF(#REF!="Monofásico trifilar",(#REF!)/(#REF!),IF(#REF!="Monofásico bifilar",(#REF!)/(#REF!))))*(1+#REF!)</f>
        <v>#REF!</v>
      </c>
      <c r="H258" s="9" t="e">
        <f>IF(F258=3,#REF!*3*((Costos!G258/#REF!)^2)*#REF!*Costos!D258*Costos!$B$4,IF(F258=2,#REF!*2*((Costos!G258/#REF!)^2)*#REF!*Costos!D258*Costos!$B$4,IF(F258=1,#REF!*((Costos!G258/#REF!)^2)*#REF!*Costos!D258*Costos!$B$4,"error")))</f>
        <v>#REF!</v>
      </c>
      <c r="I258" s="9" t="e">
        <f>#REF!*#REF!*#REF!*1000</f>
        <v>#REF!</v>
      </c>
      <c r="J258" s="72" t="e">
        <f t="shared" si="3"/>
        <v>#REF!</v>
      </c>
      <c r="K258" s="72" t="e">
        <f>IF(#REF!&gt;57.5,#REF!,IF(#REF!&gt;29.99999999,#REF!,IF(#REF!&gt;0.9999999999,#REF!,IF(#REF!&gt;0.000000001,#REF!,"Error"))))</f>
        <v>#REF!</v>
      </c>
      <c r="L258" s="13" t="e">
        <f>IF(K258&gt;J258,(1+E258*0.04)*#REF!*D258,0)</f>
        <v>#REF!</v>
      </c>
      <c r="M258" s="13" t="e">
        <f>IF(K258&gt;J258,G258^2*#REF!*D258*$B$5,0)</f>
        <v>#REF!</v>
      </c>
    </row>
    <row r="259" spans="2:13" x14ac:dyDescent="0.25">
      <c r="B259" s="2">
        <v>11</v>
      </c>
      <c r="C259" s="2" t="e">
        <f>#REF!</f>
        <v>#REF!</v>
      </c>
      <c r="D259" s="12" t="e">
        <f>IF(B259=1,#REF!,IF(B259=2,#REF!,IF(B259=3,#REF!,IF(B259=4,#REF!,IF(B259=5,#REF!,IF(B259=6,#REF!,IF(B259=7,#REF!,IF(B259=8,#REF!, IF(B259=9,#REF!,IF(B259=10,#REF!,IF(B259=11,#REF!,”Error”)))))))))))</f>
        <v>#REF!</v>
      </c>
      <c r="E259" s="12" t="e">
        <f>IF(#REF!="Si",1,IF(#REF!="No",0))</f>
        <v>#REF!</v>
      </c>
      <c r="F259" s="12" t="e">
        <f>IF(#REF!="Trifásico",3,IF(#REF!="Monofásico trifilar",2,IF(#REF!="Monofásico bifilar",1)))</f>
        <v>#REF!</v>
      </c>
      <c r="G259" s="22" t="e">
        <f>IF(#REF!="Trifásico",(#REF!)/(SQRT(3)*#REF!),IF(#REF!="Monofásico trifilar",(#REF!)/(#REF!),IF(#REF!="Monofásico bifilar",(#REF!)/(#REF!))))*(1+#REF!)</f>
        <v>#REF!</v>
      </c>
      <c r="H259" s="9" t="e">
        <f>IF(F259=3,#REF!*3*((Costos!G259/#REF!)^2)*#REF!*Costos!D259*Costos!$B$4,IF(F259=2,#REF!*2*((Costos!G259/#REF!)^2)*#REF!*Costos!D259*Costos!$B$4,IF(F259=1,#REF!*((Costos!G259/#REF!)^2)*#REF!*Costos!D259*Costos!$B$4,"error")))</f>
        <v>#REF!</v>
      </c>
      <c r="I259" s="9" t="e">
        <f>#REF!*#REF!*#REF!*1000</f>
        <v>#REF!</v>
      </c>
      <c r="J259" s="72" t="e">
        <f t="shared" si="3"/>
        <v>#REF!</v>
      </c>
      <c r="K259" s="72" t="e">
        <f>IF(#REF!&gt;57.5,#REF!,IF(#REF!&gt;29.99999999,#REF!,IF(#REF!&gt;0.9999999999,#REF!,IF(#REF!&gt;0.000000001,#REF!,"Error"))))</f>
        <v>#REF!</v>
      </c>
      <c r="L259" s="13" t="e">
        <f>IF(K259&gt;J259,(1+E259*0.04)*#REF!*D259,0)</f>
        <v>#REF!</v>
      </c>
      <c r="M259" s="13" t="e">
        <f>IF(K259&gt;J259,G259^2*#REF!*D259*$B$5,0)</f>
        <v>#REF!</v>
      </c>
    </row>
    <row r="260" spans="2:13" x14ac:dyDescent="0.25">
      <c r="B260" s="18">
        <v>11</v>
      </c>
      <c r="C260" s="18" t="e">
        <f>#REF!</f>
        <v>#REF!</v>
      </c>
      <c r="D260" s="43" t="e">
        <f>IF(B260=1,#REF!,IF(B260=2,#REF!,IF(B260=3,#REF!,IF(B260=4,#REF!,IF(B260=5,#REF!,IF(B260=6,#REF!,IF(B260=7,#REF!,IF(B260=8,#REF!, IF(B260=9,#REF!,IF(B260=10,#REF!,IF(B260=11,#REF!,”Error”)))))))))))</f>
        <v>#REF!</v>
      </c>
      <c r="E260" s="43" t="e">
        <f>IF(#REF!="Si",1,IF(#REF!="No",0))</f>
        <v>#REF!</v>
      </c>
      <c r="F260" s="12" t="e">
        <f>IF(#REF!="Trifásico",3,IF(#REF!="Monofásico trifilar",2,IF(#REF!="Monofásico bifilar",1)))</f>
        <v>#REF!</v>
      </c>
      <c r="G260" s="22" t="e">
        <f>IF(#REF!="Trifásico",(#REF!)/(SQRT(3)*#REF!),IF(#REF!="Monofásico trifilar",(#REF!)/(#REF!),IF(#REF!="Monofásico bifilar",(#REF!)/(#REF!))))*(1+#REF!)</f>
        <v>#REF!</v>
      </c>
      <c r="H260" s="9" t="e">
        <f>IF(F260=3,#REF!*3*((Costos!G260/#REF!)^2)*#REF!*Costos!D260*Costos!$B$4,IF(F260=2,#REF!*2*((Costos!G260/#REF!)^2)*#REF!*Costos!D260*Costos!$B$4,IF(F260=1,#REF!*((Costos!G260/#REF!)^2)*#REF!*Costos!D260*Costos!$B$4,"error")))</f>
        <v>#REF!</v>
      </c>
      <c r="I260" s="9" t="e">
        <f>#REF!*#REF!*#REF!*1000</f>
        <v>#REF!</v>
      </c>
      <c r="J260" s="72" t="e">
        <f t="shared" si="3"/>
        <v>#REF!</v>
      </c>
      <c r="K260" s="72" t="e">
        <f>IF(#REF!&gt;57.5,#REF!,IF(#REF!&gt;29.99999999,#REF!,IF(#REF!&gt;0.9999999999,#REF!,IF(#REF!&gt;0.000000001,#REF!,"Error"))))</f>
        <v>#REF!</v>
      </c>
      <c r="L260" s="13" t="e">
        <f>IF(K260&gt;J260,(1+E260*0.04)*#REF!*D260,0)</f>
        <v>#REF!</v>
      </c>
      <c r="M260" s="13" t="e">
        <f>IF(K260&gt;J260,G260^2*#REF!*D260*$B$5,0)</f>
        <v>#REF!</v>
      </c>
    </row>
    <row r="261" spans="2:13" x14ac:dyDescent="0.25">
      <c r="C261" s="21"/>
    </row>
    <row r="262" spans="2:13" x14ac:dyDescent="0.25">
      <c r="C262" s="21"/>
    </row>
    <row r="263" spans="2:13" x14ac:dyDescent="0.25">
      <c r="C263" s="10"/>
    </row>
  </sheetData>
  <mergeCells count="1">
    <mergeCell ref="D2:N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P48"/>
  <sheetViews>
    <sheetView workbookViewId="0">
      <selection activeCell="D34" sqref="D34"/>
    </sheetView>
  </sheetViews>
  <sheetFormatPr defaultColWidth="11.42578125" defaultRowHeight="15" x14ac:dyDescent="0.25"/>
  <cols>
    <col min="1" max="1" width="11.85546875" bestFit="1" customWidth="1"/>
    <col min="2" max="2" width="25" bestFit="1" customWidth="1"/>
    <col min="3" max="3" width="37.7109375" bestFit="1" customWidth="1"/>
    <col min="4" max="4" width="17.140625" bestFit="1" customWidth="1"/>
    <col min="6" max="6" width="18.28515625" bestFit="1" customWidth="1"/>
    <col min="7" max="7" width="11.42578125" style="24"/>
    <col min="8" max="8" width="19.7109375" bestFit="1" customWidth="1"/>
  </cols>
  <sheetData>
    <row r="2" spans="1:8" ht="30.75" customHeight="1" x14ac:dyDescent="0.25">
      <c r="A2" s="25" t="s">
        <v>0</v>
      </c>
      <c r="B2" s="25" t="s">
        <v>6</v>
      </c>
      <c r="C2" s="25" t="s">
        <v>3</v>
      </c>
      <c r="D2" s="25" t="s">
        <v>9</v>
      </c>
      <c r="E2" s="25" t="s">
        <v>42</v>
      </c>
      <c r="F2" s="25" t="s">
        <v>46</v>
      </c>
      <c r="G2" s="25" t="s">
        <v>49</v>
      </c>
      <c r="H2" s="36" t="s">
        <v>61</v>
      </c>
    </row>
    <row r="3" spans="1:8" x14ac:dyDescent="0.25">
      <c r="A3" s="26" t="s">
        <v>7</v>
      </c>
      <c r="B3" s="39">
        <v>44</v>
      </c>
      <c r="C3" s="27" t="s">
        <v>1</v>
      </c>
      <c r="D3" s="26" t="s">
        <v>68</v>
      </c>
      <c r="E3" s="26" t="s">
        <v>43</v>
      </c>
      <c r="F3" s="26" t="s">
        <v>43</v>
      </c>
      <c r="G3" s="24" t="s">
        <v>50</v>
      </c>
      <c r="H3" s="26" t="s">
        <v>43</v>
      </c>
    </row>
    <row r="4" spans="1:8" x14ac:dyDescent="0.25">
      <c r="A4" s="26" t="s">
        <v>8</v>
      </c>
      <c r="B4" s="39">
        <v>34.5</v>
      </c>
      <c r="C4" s="27" t="s">
        <v>5</v>
      </c>
      <c r="D4" s="26" t="s">
        <v>69</v>
      </c>
      <c r="E4" s="27" t="s">
        <v>44</v>
      </c>
      <c r="F4" s="27" t="s">
        <v>44</v>
      </c>
      <c r="G4" s="32" t="s">
        <v>48</v>
      </c>
      <c r="H4" s="37" t="s">
        <v>44</v>
      </c>
    </row>
    <row r="5" spans="1:8" x14ac:dyDescent="0.25">
      <c r="A5" s="26"/>
      <c r="B5" s="40">
        <v>33</v>
      </c>
      <c r="C5" s="27" t="s">
        <v>17</v>
      </c>
      <c r="D5" s="27" t="s">
        <v>10</v>
      </c>
      <c r="E5" s="26"/>
      <c r="F5" s="26"/>
      <c r="G5" s="24" t="s">
        <v>51</v>
      </c>
    </row>
    <row r="6" spans="1:8" x14ac:dyDescent="0.25">
      <c r="A6" s="26"/>
      <c r="B6" s="39">
        <v>13.8</v>
      </c>
      <c r="C6" s="27" t="s">
        <v>19</v>
      </c>
      <c r="D6" s="26"/>
      <c r="E6" s="26"/>
      <c r="F6" s="26"/>
      <c r="G6" s="32" t="s">
        <v>52</v>
      </c>
    </row>
    <row r="7" spans="1:8" x14ac:dyDescent="0.25">
      <c r="A7" s="26"/>
      <c r="B7" s="39">
        <v>13.2</v>
      </c>
      <c r="C7" s="27" t="s">
        <v>20</v>
      </c>
      <c r="D7" s="27"/>
      <c r="E7" s="27"/>
      <c r="F7" s="27"/>
      <c r="G7" s="24" t="s">
        <v>53</v>
      </c>
    </row>
    <row r="8" spans="1:8" x14ac:dyDescent="0.25">
      <c r="A8" s="26"/>
      <c r="B8" s="40">
        <v>11.4</v>
      </c>
      <c r="C8" s="27" t="s">
        <v>18</v>
      </c>
      <c r="D8" s="26"/>
      <c r="E8" s="26"/>
      <c r="F8" s="26"/>
      <c r="G8" s="32" t="s">
        <v>54</v>
      </c>
    </row>
    <row r="9" spans="1:8" x14ac:dyDescent="0.25">
      <c r="A9" s="26"/>
      <c r="B9" s="39">
        <v>7.62</v>
      </c>
      <c r="C9" s="27" t="s">
        <v>21</v>
      </c>
      <c r="D9" s="26"/>
      <c r="E9" s="26"/>
      <c r="F9" s="26"/>
      <c r="G9" s="24" t="s">
        <v>55</v>
      </c>
    </row>
    <row r="10" spans="1:8" x14ac:dyDescent="0.25">
      <c r="A10" s="26"/>
      <c r="B10" s="39">
        <v>6.13</v>
      </c>
      <c r="C10" s="27" t="s">
        <v>22</v>
      </c>
      <c r="D10" s="26"/>
      <c r="E10" s="26"/>
      <c r="F10" s="26"/>
      <c r="G10" s="32" t="s">
        <v>56</v>
      </c>
    </row>
    <row r="11" spans="1:8" x14ac:dyDescent="0.25">
      <c r="A11" s="26"/>
      <c r="B11" s="40">
        <v>0.48</v>
      </c>
      <c r="C11" s="27" t="s">
        <v>23</v>
      </c>
      <c r="D11" s="26"/>
      <c r="E11" s="26"/>
      <c r="F11" s="26"/>
      <c r="G11" s="24" t="s">
        <v>57</v>
      </c>
    </row>
    <row r="12" spans="1:8" x14ac:dyDescent="0.25">
      <c r="A12" s="26"/>
      <c r="B12" s="39">
        <v>0.44</v>
      </c>
      <c r="C12" s="27" t="s">
        <v>24</v>
      </c>
      <c r="D12" s="26"/>
      <c r="E12" s="26"/>
      <c r="F12" s="26"/>
      <c r="G12" s="32" t="s">
        <v>58</v>
      </c>
    </row>
    <row r="13" spans="1:8" x14ac:dyDescent="0.25">
      <c r="A13" s="26"/>
      <c r="B13" s="39">
        <v>0.38</v>
      </c>
      <c r="C13" s="27" t="s">
        <v>28</v>
      </c>
      <c r="D13" s="26"/>
      <c r="E13" s="26"/>
      <c r="F13" s="26"/>
      <c r="G13" s="24" t="s">
        <v>59</v>
      </c>
    </row>
    <row r="14" spans="1:8" x14ac:dyDescent="0.25">
      <c r="A14" s="26"/>
      <c r="B14" s="40">
        <v>0.24</v>
      </c>
      <c r="C14" s="27" t="s">
        <v>29</v>
      </c>
      <c r="D14" s="26"/>
      <c r="E14" s="26"/>
      <c r="F14" s="26"/>
    </row>
    <row r="15" spans="1:8" x14ac:dyDescent="0.25">
      <c r="A15" s="26"/>
      <c r="B15" s="39">
        <v>0.22</v>
      </c>
      <c r="C15" s="27" t="s">
        <v>30</v>
      </c>
      <c r="D15" s="26"/>
      <c r="E15" s="26"/>
      <c r="F15" s="26"/>
    </row>
    <row r="16" spans="1:8" x14ac:dyDescent="0.25">
      <c r="A16" s="26"/>
      <c r="B16" s="39">
        <v>0.20799999999999999</v>
      </c>
      <c r="C16" s="27" t="s">
        <v>31</v>
      </c>
      <c r="D16" s="26"/>
      <c r="E16" s="26"/>
      <c r="F16" s="26"/>
    </row>
    <row r="17" spans="1:16" x14ac:dyDescent="0.25">
      <c r="A17" s="26"/>
      <c r="B17" s="40">
        <v>0.12</v>
      </c>
      <c r="C17" s="27" t="s">
        <v>32</v>
      </c>
      <c r="D17" s="26"/>
      <c r="E17" s="26"/>
      <c r="F17" s="26"/>
    </row>
    <row r="18" spans="1:16" x14ac:dyDescent="0.25">
      <c r="A18" s="26"/>
      <c r="B18" s="39">
        <v>0.11</v>
      </c>
      <c r="C18" s="27" t="s">
        <v>33</v>
      </c>
      <c r="D18" s="26"/>
      <c r="E18" s="26"/>
      <c r="F18" s="26"/>
    </row>
    <row r="19" spans="1:16" x14ac:dyDescent="0.25">
      <c r="A19" s="26"/>
      <c r="B19" s="28"/>
      <c r="C19" s="27" t="s">
        <v>25</v>
      </c>
      <c r="D19" s="28"/>
      <c r="E19" s="28"/>
      <c r="F19" s="28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26"/>
      <c r="B20" s="28"/>
      <c r="C20" s="27" t="s">
        <v>26</v>
      </c>
      <c r="D20" s="29"/>
      <c r="E20" s="29"/>
      <c r="F20" s="28"/>
      <c r="G20" s="30"/>
      <c r="H20" s="5"/>
      <c r="I20" s="5"/>
      <c r="J20" s="78"/>
      <c r="K20" s="78"/>
      <c r="L20" s="10"/>
      <c r="M20" s="78"/>
      <c r="N20" s="78"/>
      <c r="O20" s="10"/>
      <c r="P20" s="10"/>
    </row>
    <row r="21" spans="1:16" x14ac:dyDescent="0.25">
      <c r="A21" s="26"/>
      <c r="B21" s="28"/>
      <c r="C21" s="27" t="s">
        <v>27</v>
      </c>
      <c r="D21" s="28"/>
      <c r="E21" s="28"/>
      <c r="F21" s="28"/>
      <c r="G21" s="11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26"/>
      <c r="B22" s="28"/>
      <c r="C22" s="27" t="s">
        <v>60</v>
      </c>
      <c r="D22" s="29"/>
      <c r="E22" s="29"/>
      <c r="F22" s="28"/>
      <c r="G22" s="30"/>
      <c r="H22" s="5"/>
      <c r="I22" s="5"/>
      <c r="J22" s="78"/>
      <c r="K22" s="78"/>
      <c r="L22" s="10"/>
      <c r="M22" s="78"/>
      <c r="N22" s="78"/>
      <c r="O22" s="10"/>
      <c r="P22" s="10"/>
    </row>
    <row r="23" spans="1:16" x14ac:dyDescent="0.25">
      <c r="A23" s="26"/>
      <c r="B23" s="28"/>
      <c r="C23" s="27" t="s">
        <v>62</v>
      </c>
      <c r="D23" s="28"/>
      <c r="E23" s="28"/>
      <c r="F23" s="28"/>
      <c r="G23" s="11"/>
      <c r="H23" s="10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26"/>
      <c r="B24" s="28"/>
      <c r="C24" s="27" t="s">
        <v>63</v>
      </c>
      <c r="D24" s="29"/>
      <c r="E24" s="28"/>
      <c r="F24" s="29"/>
      <c r="G24" s="30"/>
      <c r="H24" s="5"/>
      <c r="I24" s="78"/>
      <c r="J24" s="78"/>
      <c r="K24" s="10"/>
      <c r="L24" s="78"/>
      <c r="M24" s="78"/>
      <c r="N24" s="10"/>
      <c r="O24" s="10"/>
      <c r="P24" s="10"/>
    </row>
    <row r="25" spans="1:16" x14ac:dyDescent="0.25">
      <c r="A25" s="26"/>
      <c r="B25" s="28"/>
      <c r="C25" s="27" t="s">
        <v>64</v>
      </c>
      <c r="D25" s="28"/>
      <c r="E25" s="28"/>
      <c r="F25" s="28"/>
      <c r="G25" s="11"/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26"/>
      <c r="B26" s="28"/>
      <c r="C26" s="27" t="s">
        <v>36</v>
      </c>
      <c r="D26" s="29"/>
      <c r="E26" s="29"/>
      <c r="F26" s="28"/>
      <c r="G26" s="30"/>
      <c r="H26" s="5"/>
      <c r="I26" s="5"/>
      <c r="J26" s="78"/>
      <c r="K26" s="78"/>
      <c r="L26" s="10"/>
      <c r="M26" s="78"/>
      <c r="N26" s="78"/>
      <c r="O26" s="10"/>
      <c r="P26" s="10"/>
    </row>
    <row r="27" spans="1:16" x14ac:dyDescent="0.25">
      <c r="A27" s="26"/>
      <c r="B27" s="28"/>
      <c r="C27" s="27" t="s">
        <v>37</v>
      </c>
      <c r="D27" s="28"/>
      <c r="E27" s="28"/>
      <c r="F27" s="28"/>
      <c r="G27" s="11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5">
      <c r="A28" s="26"/>
      <c r="B28" s="26"/>
      <c r="C28" s="27" t="s">
        <v>34</v>
      </c>
      <c r="D28" s="28"/>
      <c r="E28" s="28"/>
      <c r="F28" s="28"/>
      <c r="G28" s="11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26"/>
      <c r="B29" s="26"/>
      <c r="C29" s="27" t="s">
        <v>35</v>
      </c>
      <c r="D29" s="28"/>
      <c r="E29" s="26"/>
      <c r="F29" s="26"/>
      <c r="G29" s="11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26"/>
      <c r="B30" s="26"/>
      <c r="C30" s="27" t="s">
        <v>38</v>
      </c>
      <c r="D30" s="28"/>
      <c r="E30" s="26"/>
      <c r="F30" s="26"/>
      <c r="G30" s="11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26"/>
      <c r="B31" s="26"/>
      <c r="C31" s="27" t="s">
        <v>39</v>
      </c>
      <c r="D31" s="26"/>
      <c r="E31" s="26"/>
      <c r="F31" s="26"/>
    </row>
    <row r="32" spans="1:16" x14ac:dyDescent="0.25">
      <c r="A32" s="26"/>
      <c r="B32" s="26"/>
      <c r="C32" s="27" t="s">
        <v>40</v>
      </c>
      <c r="D32" s="26"/>
      <c r="E32" s="26"/>
      <c r="F32" s="26"/>
    </row>
    <row r="33" spans="1:7" x14ac:dyDescent="0.25">
      <c r="A33" s="26"/>
      <c r="B33" s="26"/>
      <c r="C33" s="27" t="s">
        <v>41</v>
      </c>
      <c r="D33" s="26"/>
      <c r="E33" s="26"/>
      <c r="F33" s="26"/>
    </row>
    <row r="34" spans="1:7" x14ac:dyDescent="0.25">
      <c r="A34" s="24"/>
      <c r="B34" s="24"/>
      <c r="D34" s="24"/>
      <c r="E34" s="24"/>
      <c r="F34" s="24"/>
      <c r="G34" s="11"/>
    </row>
    <row r="35" spans="1:7" x14ac:dyDescent="0.25">
      <c r="G35" s="11"/>
    </row>
    <row r="36" spans="1:7" x14ac:dyDescent="0.25">
      <c r="G36" s="11"/>
    </row>
    <row r="41" spans="1:7" x14ac:dyDescent="0.25">
      <c r="D41" s="10"/>
    </row>
    <row r="42" spans="1:7" x14ac:dyDescent="0.25">
      <c r="D42" s="10"/>
    </row>
    <row r="46" spans="1:7" x14ac:dyDescent="0.25">
      <c r="D46" s="10"/>
    </row>
    <row r="47" spans="1:7" x14ac:dyDescent="0.25">
      <c r="D47" s="4"/>
    </row>
    <row r="48" spans="1:7" x14ac:dyDescent="0.25">
      <c r="D48" s="10"/>
    </row>
  </sheetData>
  <mergeCells count="8">
    <mergeCell ref="J26:K26"/>
    <mergeCell ref="M26:N26"/>
    <mergeCell ref="I24:J24"/>
    <mergeCell ref="L24:M24"/>
    <mergeCell ref="J20:K20"/>
    <mergeCell ref="M20:N20"/>
    <mergeCell ref="J22:K22"/>
    <mergeCell ref="M22:N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FC8A-1FF4-4CD6-99C7-65BF50AAFE79}">
  <sheetPr>
    <tabColor theme="7" tint="0.39997558519241921"/>
  </sheetPr>
  <dimension ref="B1:L37"/>
  <sheetViews>
    <sheetView showGridLines="0" tabSelected="1" zoomScale="80" zoomScaleNormal="80" workbookViewId="0">
      <selection activeCell="F11" sqref="F11"/>
    </sheetView>
  </sheetViews>
  <sheetFormatPr defaultColWidth="11.42578125" defaultRowHeight="15" x14ac:dyDescent="0.25"/>
  <cols>
    <col min="1" max="1" width="11.42578125" style="23"/>
    <col min="2" max="2" width="23.5703125" style="23" bestFit="1" customWidth="1"/>
    <col min="3" max="3" width="17.85546875" style="23" bestFit="1" customWidth="1"/>
    <col min="4" max="4" width="13" style="23" bestFit="1" customWidth="1"/>
    <col min="5" max="5" width="3.85546875" style="23" customWidth="1"/>
    <col min="6" max="6" width="9.28515625" style="23" bestFit="1" customWidth="1"/>
    <col min="7" max="7" width="5.5703125" style="23" bestFit="1" customWidth="1"/>
    <col min="8" max="9" width="11.7109375" style="23" bestFit="1" customWidth="1"/>
    <col min="10" max="10" width="11.7109375" style="23" customWidth="1"/>
    <col min="11" max="12" width="11.7109375" style="23" bestFit="1" customWidth="1"/>
    <col min="13" max="16384" width="11.42578125" style="23"/>
  </cols>
  <sheetData>
    <row r="1" spans="2:12" ht="15.75" thickBot="1" x14ac:dyDescent="0.3"/>
    <row r="2" spans="2:12" x14ac:dyDescent="0.25">
      <c r="D2" s="41"/>
      <c r="E2" s="44"/>
      <c r="F2" s="79" t="s">
        <v>79</v>
      </c>
      <c r="G2" s="81" t="s">
        <v>80</v>
      </c>
      <c r="H2" s="83" t="s">
        <v>81</v>
      </c>
      <c r="I2" s="83"/>
      <c r="J2" s="83"/>
      <c r="K2" s="83"/>
      <c r="L2" s="84"/>
    </row>
    <row r="3" spans="2:12" ht="15.75" thickBot="1" x14ac:dyDescent="0.3">
      <c r="D3" s="52"/>
      <c r="E3" s="44"/>
      <c r="F3" s="80"/>
      <c r="G3" s="82"/>
      <c r="H3" s="71">
        <v>4</v>
      </c>
      <c r="I3" s="71">
        <v>2</v>
      </c>
      <c r="J3" s="71" t="s">
        <v>13</v>
      </c>
      <c r="K3" s="59" t="s">
        <v>14</v>
      </c>
      <c r="L3" s="59" t="s">
        <v>16</v>
      </c>
    </row>
    <row r="4" spans="2:12" x14ac:dyDescent="0.25">
      <c r="D4" s="52"/>
      <c r="E4" s="44"/>
      <c r="F4" s="9">
        <f>((2*1000)/($C$9))/$C$13</f>
        <v>9.0909090909090912E-2</v>
      </c>
      <c r="G4" s="75">
        <f>2/$C$10</f>
        <v>0.1</v>
      </c>
      <c r="H4" s="14">
        <f t="shared" ref="H4:H23" si="0">($C$17*$C$11+(F4*$C$13)^2*$D$17*$C$11*5113.964286)/1000000</f>
        <v>10.304817432993126</v>
      </c>
      <c r="I4" s="14">
        <f t="shared" ref="I4:I23" si="1">($C$18*$C$11+(F4*$C$13)^2*$D$18*$C$11*5113.964286)/1000000</f>
        <v>11.8390802752425</v>
      </c>
      <c r="J4" s="14">
        <f t="shared" ref="J4:J23" si="2">($C$19*$C$11+(F4*$C$13)^2*$D$19*$C$11*5113.964286)/1000000</f>
        <v>14.324374559020624</v>
      </c>
      <c r="K4" s="14">
        <f t="shared" ref="K4:K23" si="3">($C$20*$C$11+(F4*$C$13)^2*$D$20*$C$11*5113.964286)/1000000</f>
        <v>16.081346899769063</v>
      </c>
      <c r="L4" s="14">
        <f t="shared" ref="L4:L23" si="4">($C$21*$C$11+(F4*$C$13)^2*$D$21*$C$11*5113.964286)/1000000</f>
        <v>21.079504014510309</v>
      </c>
    </row>
    <row r="5" spans="2:12" x14ac:dyDescent="0.25">
      <c r="D5" s="52"/>
      <c r="E5" s="44"/>
      <c r="F5" s="9">
        <f>((4*1000)/($C$9))/$C$13</f>
        <v>0.18181818181818182</v>
      </c>
      <c r="G5" s="76">
        <f>4/$C$10</f>
        <v>0.2</v>
      </c>
      <c r="H5" s="14">
        <f t="shared" si="0"/>
        <v>10.681439594472501</v>
      </c>
      <c r="I5" s="14">
        <f t="shared" si="1"/>
        <v>12.075601123469999</v>
      </c>
      <c r="J5" s="14">
        <f t="shared" si="2"/>
        <v>14.4729991460825</v>
      </c>
      <c r="K5" s="14">
        <f t="shared" si="3"/>
        <v>16.199340971576252</v>
      </c>
      <c r="L5" s="14">
        <f t="shared" si="4"/>
        <v>21.15381630804125</v>
      </c>
    </row>
    <row r="6" spans="2:12" x14ac:dyDescent="0.25">
      <c r="D6" s="56"/>
      <c r="E6" s="44"/>
      <c r="F6" s="9">
        <f>((6*1000)/($C$9))/$C$13</f>
        <v>0.27272727272727271</v>
      </c>
      <c r="G6" s="76">
        <f>6/$C$10</f>
        <v>0.3</v>
      </c>
      <c r="H6" s="14">
        <f t="shared" si="0"/>
        <v>11.309143196938125</v>
      </c>
      <c r="I6" s="14">
        <f t="shared" si="1"/>
        <v>12.469802537182501</v>
      </c>
      <c r="J6" s="14">
        <f t="shared" si="2"/>
        <v>14.720706791185625</v>
      </c>
      <c r="K6" s="14">
        <f t="shared" si="3"/>
        <v>16.395997757921563</v>
      </c>
      <c r="L6" s="14">
        <f t="shared" si="4"/>
        <v>21.277670130592814</v>
      </c>
    </row>
    <row r="7" spans="2:12" ht="15.75" thickBot="1" x14ac:dyDescent="0.3">
      <c r="D7" s="57"/>
      <c r="E7" s="44"/>
      <c r="F7" s="9">
        <f>((8*1000)/($C$9))/$C$13</f>
        <v>0.36363636363636365</v>
      </c>
      <c r="G7" s="76">
        <f>8/$C$10</f>
        <v>0.4</v>
      </c>
      <c r="H7" s="14">
        <f t="shared" si="0"/>
        <v>12.187928240390001</v>
      </c>
      <c r="I7" s="14">
        <f t="shared" si="1"/>
        <v>13.021684516380001</v>
      </c>
      <c r="J7" s="14">
        <f t="shared" si="2"/>
        <v>15.06749749433</v>
      </c>
      <c r="K7" s="14">
        <f t="shared" si="3"/>
        <v>16.671317258805001</v>
      </c>
      <c r="L7" s="14">
        <f t="shared" si="4"/>
        <v>21.451065482165003</v>
      </c>
    </row>
    <row r="8" spans="2:12" ht="15.75" thickBot="1" x14ac:dyDescent="0.3">
      <c r="B8" s="85" t="s">
        <v>73</v>
      </c>
      <c r="C8" s="86"/>
      <c r="D8" s="44"/>
      <c r="E8" s="44"/>
      <c r="F8" s="9">
        <f>((10*1000)/($C$9))/$C$13</f>
        <v>0.45454545454545447</v>
      </c>
      <c r="G8" s="76">
        <f>10/$C$10</f>
        <v>0.5</v>
      </c>
      <c r="H8" s="14">
        <f t="shared" si="0"/>
        <v>13.317794724828124</v>
      </c>
      <c r="I8" s="14">
        <f t="shared" si="1"/>
        <v>13.731247061062501</v>
      </c>
      <c r="J8" s="14">
        <f t="shared" si="2"/>
        <v>15.513371255515624</v>
      </c>
      <c r="K8" s="14">
        <f t="shared" si="3"/>
        <v>17.025299474226564</v>
      </c>
      <c r="L8" s="14">
        <f t="shared" si="4"/>
        <v>21.674002362757815</v>
      </c>
    </row>
    <row r="9" spans="2:12" x14ac:dyDescent="0.25">
      <c r="B9" s="45" t="s">
        <v>89</v>
      </c>
      <c r="C9" s="45">
        <v>240</v>
      </c>
      <c r="E9" s="44"/>
      <c r="F9" s="9">
        <f>((12*1000)/($C$9))/$C$13</f>
        <v>0.54545454545454541</v>
      </c>
      <c r="G9" s="76">
        <f>12/$C$10</f>
        <v>0.6</v>
      </c>
      <c r="H9" s="14">
        <f t="shared" si="0"/>
        <v>14.6987426502525</v>
      </c>
      <c r="I9" s="14">
        <f t="shared" si="1"/>
        <v>14.598490171229999</v>
      </c>
      <c r="J9" s="14">
        <f t="shared" si="2"/>
        <v>16.058328074742501</v>
      </c>
      <c r="K9" s="14">
        <f t="shared" si="3"/>
        <v>17.45794440418625</v>
      </c>
      <c r="L9" s="14">
        <f t="shared" si="4"/>
        <v>21.946480772371252</v>
      </c>
    </row>
    <row r="10" spans="2:12" x14ac:dyDescent="0.25">
      <c r="B10" s="46" t="s">
        <v>90</v>
      </c>
      <c r="C10" s="46">
        <v>20</v>
      </c>
      <c r="E10" s="44"/>
      <c r="F10" s="9">
        <f>((14*1000)/($C$9))/$C$13</f>
        <v>0.63636363636363635</v>
      </c>
      <c r="G10" s="76">
        <f>14/$C$10</f>
        <v>0.7</v>
      </c>
      <c r="H10" s="14">
        <f t="shared" si="0"/>
        <v>16.330772016663126</v>
      </c>
      <c r="I10" s="14">
        <f t="shared" si="1"/>
        <v>15.623413846882499</v>
      </c>
      <c r="J10" s="14">
        <f t="shared" si="2"/>
        <v>16.702367952010626</v>
      </c>
      <c r="K10" s="14">
        <f t="shared" si="3"/>
        <v>17.969252048684066</v>
      </c>
      <c r="L10" s="14">
        <f t="shared" si="4"/>
        <v>22.268500711005313</v>
      </c>
    </row>
    <row r="11" spans="2:12" x14ac:dyDescent="0.25">
      <c r="B11" s="46" t="s">
        <v>72</v>
      </c>
      <c r="C11" s="46">
        <v>0.25</v>
      </c>
      <c r="E11" s="44"/>
      <c r="F11" s="9">
        <f>((16*1000)/($C$9))/$C$13</f>
        <v>0.72727272727272729</v>
      </c>
      <c r="G11" s="76">
        <f>16/$C$10</f>
        <v>0.8</v>
      </c>
      <c r="H11" s="14">
        <f t="shared" si="0"/>
        <v>18.213882824060001</v>
      </c>
      <c r="I11" s="14">
        <f t="shared" si="1"/>
        <v>16.80601808802</v>
      </c>
      <c r="J11" s="14">
        <f t="shared" si="2"/>
        <v>17.445490887320002</v>
      </c>
      <c r="K11" s="14">
        <f t="shared" si="3"/>
        <v>18.55922240772</v>
      </c>
      <c r="L11" s="14">
        <f t="shared" si="4"/>
        <v>22.640062178660003</v>
      </c>
    </row>
    <row r="12" spans="2:12" x14ac:dyDescent="0.25">
      <c r="B12" s="46" t="s">
        <v>77</v>
      </c>
      <c r="C12" s="47">
        <v>0.1</v>
      </c>
      <c r="E12" s="44"/>
      <c r="F12" s="9">
        <f>((18*1000)/($C$9))/$C$13</f>
        <v>0.81818181818181812</v>
      </c>
      <c r="G12" s="76">
        <f>18/$C$10</f>
        <v>0.9</v>
      </c>
      <c r="H12" s="14">
        <f t="shared" si="0"/>
        <v>20.348075072443127</v>
      </c>
      <c r="I12" s="14">
        <f t="shared" si="1"/>
        <v>18.146302894642503</v>
      </c>
      <c r="J12" s="14">
        <f t="shared" si="2"/>
        <v>18.287696880670627</v>
      </c>
      <c r="K12" s="14">
        <f t="shared" si="3"/>
        <v>19.227855481294061</v>
      </c>
      <c r="L12" s="14">
        <f t="shared" si="4"/>
        <v>23.061165175335315</v>
      </c>
    </row>
    <row r="13" spans="2:12" x14ac:dyDescent="0.25">
      <c r="B13" s="46" t="s">
        <v>78</v>
      </c>
      <c r="C13" s="48">
        <f>(C10*1000)/(C9)*(1+C12)</f>
        <v>91.666666666666671</v>
      </c>
      <c r="E13" s="44"/>
      <c r="F13" s="9">
        <f>((20*1000)/($C$9))/$C$13</f>
        <v>0.90909090909090895</v>
      </c>
      <c r="G13" s="76">
        <f>20/$C$10</f>
        <v>1</v>
      </c>
      <c r="H13" s="14">
        <f t="shared" si="0"/>
        <v>22.733348761812497</v>
      </c>
      <c r="I13" s="14">
        <f t="shared" si="1"/>
        <v>19.64426826675</v>
      </c>
      <c r="J13" s="14">
        <f t="shared" si="2"/>
        <v>19.2289859320625</v>
      </c>
      <c r="K13" s="14">
        <f t="shared" si="3"/>
        <v>19.975151269406251</v>
      </c>
      <c r="L13" s="14">
        <f t="shared" si="4"/>
        <v>23.53180970103125</v>
      </c>
    </row>
    <row r="14" spans="2:12" ht="15.75" thickBot="1" x14ac:dyDescent="0.3">
      <c r="E14" s="44"/>
      <c r="F14" s="9">
        <f>((22*1000)/($C$9))/$C$13</f>
        <v>1</v>
      </c>
      <c r="G14" s="76">
        <f>22/$C$10</f>
        <v>1.1000000000000001</v>
      </c>
      <c r="H14" s="14">
        <f t="shared" si="0"/>
        <v>25.369703892168125</v>
      </c>
      <c r="I14" s="14">
        <f t="shared" si="1"/>
        <v>21.2999142043425</v>
      </c>
      <c r="J14" s="14">
        <f t="shared" si="2"/>
        <v>20.269358041495625</v>
      </c>
      <c r="K14" s="14">
        <f t="shared" si="3"/>
        <v>20.801109772056563</v>
      </c>
      <c r="L14" s="14">
        <f t="shared" si="4"/>
        <v>24.051995755747814</v>
      </c>
    </row>
    <row r="15" spans="2:12" ht="15.75" thickBot="1" x14ac:dyDescent="0.3">
      <c r="B15" s="85" t="s">
        <v>92</v>
      </c>
      <c r="C15" s="87"/>
      <c r="D15" s="86"/>
      <c r="E15" s="44"/>
      <c r="F15" s="9">
        <f>((24*1000)/($C$9))/$C$13</f>
        <v>1.0909090909090908</v>
      </c>
      <c r="G15" s="76">
        <f>24/$C$10</f>
        <v>1.2</v>
      </c>
      <c r="H15" s="14">
        <f t="shared" si="0"/>
        <v>28.257140463509998</v>
      </c>
      <c r="I15" s="14">
        <f t="shared" si="1"/>
        <v>23.113240707419997</v>
      </c>
      <c r="J15" s="14">
        <f t="shared" si="2"/>
        <v>21.408813208970003</v>
      </c>
      <c r="K15" s="14">
        <f t="shared" si="3"/>
        <v>21.705730989245001</v>
      </c>
      <c r="L15" s="14">
        <f t="shared" si="4"/>
        <v>24.621723339485001</v>
      </c>
    </row>
    <row r="16" spans="2:12" ht="42" customHeight="1" thickBot="1" x14ac:dyDescent="0.3">
      <c r="B16" s="68" t="s">
        <v>81</v>
      </c>
      <c r="C16" s="61" t="s">
        <v>47</v>
      </c>
      <c r="D16" s="62" t="s">
        <v>82</v>
      </c>
      <c r="F16" s="9">
        <f>((26*1000)/($C$9))/$C$13</f>
        <v>1.1818181818181817</v>
      </c>
      <c r="G16" s="76">
        <f>26/$C$10</f>
        <v>1.3</v>
      </c>
      <c r="H16" s="14">
        <f t="shared" si="0"/>
        <v>31.395658475838125</v>
      </c>
      <c r="I16" s="14">
        <f t="shared" si="1"/>
        <v>25.084247775982501</v>
      </c>
      <c r="J16" s="14">
        <f t="shared" si="2"/>
        <v>22.647351434485625</v>
      </c>
      <c r="K16" s="14">
        <f t="shared" si="3"/>
        <v>22.689014920971566</v>
      </c>
      <c r="L16" s="14">
        <f t="shared" si="4"/>
        <v>25.240992452242814</v>
      </c>
    </row>
    <row r="17" spans="2:12" x14ac:dyDescent="0.25">
      <c r="B17" s="16" t="s">
        <v>93</v>
      </c>
      <c r="C17" s="35">
        <v>40717106.850000001</v>
      </c>
      <c r="D17" s="18">
        <v>1.4139999999999999</v>
      </c>
      <c r="F17" s="9">
        <f>((28*1000)/($C$9))/$C$13</f>
        <v>1.2727272727272727</v>
      </c>
      <c r="G17" s="76">
        <f>28/$C$10</f>
        <v>1.4</v>
      </c>
      <c r="H17" s="14">
        <f t="shared" si="0"/>
        <v>34.7852579291525</v>
      </c>
      <c r="I17" s="14">
        <f t="shared" si="1"/>
        <v>27.212935410029999</v>
      </c>
      <c r="J17" s="14">
        <f t="shared" si="2"/>
        <v>23.984972718042499</v>
      </c>
      <c r="K17" s="14">
        <f t="shared" si="3"/>
        <v>23.750961567236253</v>
      </c>
      <c r="L17" s="14">
        <f t="shared" si="4"/>
        <v>25.90980309402125</v>
      </c>
    </row>
    <row r="18" spans="2:12" x14ac:dyDescent="0.25">
      <c r="B18" s="16" t="s">
        <v>94</v>
      </c>
      <c r="C18" s="35">
        <v>47040959.969999999</v>
      </c>
      <c r="D18" s="18">
        <v>0.88800000000000001</v>
      </c>
      <c r="F18" s="9">
        <f>((30*1000)/($C$9))/$C$13</f>
        <v>1.3636363636363635</v>
      </c>
      <c r="G18" s="76">
        <f>30/$C$10</f>
        <v>1.5</v>
      </c>
      <c r="H18" s="14">
        <f t="shared" si="0"/>
        <v>38.42593882345313</v>
      </c>
      <c r="I18" s="14">
        <f t="shared" si="1"/>
        <v>29.499303609562503</v>
      </c>
      <c r="J18" s="14">
        <f t="shared" si="2"/>
        <v>25.421677059640622</v>
      </c>
      <c r="K18" s="14">
        <f t="shared" si="3"/>
        <v>24.891570928039062</v>
      </c>
      <c r="L18" s="14">
        <f t="shared" si="4"/>
        <v>26.628155264820315</v>
      </c>
    </row>
    <row r="19" spans="2:12" x14ac:dyDescent="0.25">
      <c r="B19" s="16" t="s">
        <v>95</v>
      </c>
      <c r="C19" s="35">
        <v>57099332.119999997</v>
      </c>
      <c r="D19" s="18">
        <v>0.55800000000000005</v>
      </c>
      <c r="F19" s="9">
        <f>((32*1000)/($C$9))/$C$13</f>
        <v>1.4545454545454546</v>
      </c>
      <c r="G19" s="76">
        <f>32/$C$10</f>
        <v>1.6</v>
      </c>
      <c r="H19" s="14">
        <f t="shared" si="0"/>
        <v>42.317701158740007</v>
      </c>
      <c r="I19" s="14">
        <f t="shared" si="1"/>
        <v>31.943352374580002</v>
      </c>
      <c r="J19" s="14">
        <f t="shared" si="2"/>
        <v>26.957464459280004</v>
      </c>
      <c r="K19" s="14">
        <f t="shared" si="3"/>
        <v>26.110843003380005</v>
      </c>
      <c r="L19" s="14">
        <f t="shared" si="4"/>
        <v>27.396048964640002</v>
      </c>
    </row>
    <row r="20" spans="2:12" x14ac:dyDescent="0.25">
      <c r="B20" s="16" t="s">
        <v>96</v>
      </c>
      <c r="C20" s="35">
        <v>64168062.170000002</v>
      </c>
      <c r="D20" s="38">
        <v>0.443</v>
      </c>
      <c r="F20" s="9">
        <f>((34*1000)/($C$9))/$C$13</f>
        <v>1.5454545454545452</v>
      </c>
      <c r="G20" s="76">
        <f>34/$C$10</f>
        <v>1.7</v>
      </c>
      <c r="H20" s="14">
        <f t="shared" si="0"/>
        <v>46.460544935013118</v>
      </c>
      <c r="I20" s="14">
        <f t="shared" si="1"/>
        <v>34.545081705082495</v>
      </c>
      <c r="J20" s="14">
        <f t="shared" si="2"/>
        <v>28.592334916960628</v>
      </c>
      <c r="K20" s="14">
        <f t="shared" si="3"/>
        <v>27.408777793259063</v>
      </c>
      <c r="L20" s="14">
        <f t="shared" si="4"/>
        <v>28.213484193480312</v>
      </c>
    </row>
    <row r="21" spans="2:12" x14ac:dyDescent="0.25">
      <c r="B21" s="16" t="s">
        <v>97</v>
      </c>
      <c r="C21" s="35">
        <v>84218933</v>
      </c>
      <c r="D21" s="38">
        <v>0.27900000000000003</v>
      </c>
      <c r="F21" s="9">
        <f>((36*1000)/($C$9))/$C$13</f>
        <v>1.6363636363636362</v>
      </c>
      <c r="G21" s="76">
        <f>36/$C$10</f>
        <v>1.8</v>
      </c>
      <c r="H21" s="14">
        <f t="shared" si="0"/>
        <v>50.854470152272498</v>
      </c>
      <c r="I21" s="14">
        <f t="shared" si="1"/>
        <v>37.304491601070005</v>
      </c>
      <c r="J21" s="14">
        <f t="shared" si="2"/>
        <v>30.326288432682503</v>
      </c>
      <c r="K21" s="14">
        <f t="shared" si="3"/>
        <v>28.78537529767625</v>
      </c>
      <c r="L21" s="14">
        <f t="shared" si="4"/>
        <v>29.080460951341252</v>
      </c>
    </row>
    <row r="22" spans="2:12" x14ac:dyDescent="0.25">
      <c r="B22" s="15"/>
      <c r="C22" s="65"/>
      <c r="D22" s="19"/>
      <c r="F22" s="9">
        <f>((38*1000)/($C$9))/$C$13</f>
        <v>1.7272727272727273</v>
      </c>
      <c r="G22" s="76">
        <f>38/$C$10</f>
        <v>1.9</v>
      </c>
      <c r="H22" s="14">
        <f t="shared" si="0"/>
        <v>55.499476810518132</v>
      </c>
      <c r="I22" s="14">
        <f t="shared" si="1"/>
        <v>40.22158206254251</v>
      </c>
      <c r="J22" s="14">
        <f t="shared" si="2"/>
        <v>32.159325006445634</v>
      </c>
      <c r="K22" s="14">
        <f t="shared" si="3"/>
        <v>30.240635516631567</v>
      </c>
      <c r="L22" s="14">
        <f t="shared" si="4"/>
        <v>29.996979238222814</v>
      </c>
    </row>
    <row r="23" spans="2:12" x14ac:dyDescent="0.25">
      <c r="B23" s="10"/>
      <c r="C23" s="10"/>
      <c r="D23" s="10"/>
      <c r="F23" s="9">
        <f>((40*1000)/($C$9))/$C$13</f>
        <v>1.8181818181818179</v>
      </c>
      <c r="G23" s="76">
        <f>40/$C$10</f>
        <v>2</v>
      </c>
      <c r="H23" s="14">
        <f t="shared" si="0"/>
        <v>60.395564909749986</v>
      </c>
      <c r="I23" s="14">
        <f t="shared" si="1"/>
        <v>43.296353089499995</v>
      </c>
      <c r="J23" s="14">
        <f t="shared" si="2"/>
        <v>34.091444638250003</v>
      </c>
      <c r="K23" s="14">
        <f t="shared" si="3"/>
        <v>31.774558450125003</v>
      </c>
      <c r="L23" s="14">
        <f t="shared" si="4"/>
        <v>30.963039054124998</v>
      </c>
    </row>
    <row r="26" spans="2:12" x14ac:dyDescent="0.25">
      <c r="I26" s="15"/>
      <c r="J26" s="65"/>
      <c r="K26" s="21"/>
    </row>
    <row r="29" spans="2:12" x14ac:dyDescent="0.25">
      <c r="C29" s="73"/>
      <c r="D29" s="74"/>
      <c r="E29" s="10"/>
    </row>
    <row r="30" spans="2:12" x14ac:dyDescent="0.25">
      <c r="C30" s="73"/>
      <c r="D30" s="74"/>
      <c r="E30" s="10"/>
    </row>
    <row r="31" spans="2:12" x14ac:dyDescent="0.25">
      <c r="C31" s="73"/>
      <c r="D31" s="74"/>
      <c r="E31" s="10"/>
    </row>
    <row r="32" spans="2:12" x14ac:dyDescent="0.25">
      <c r="C32" s="73"/>
      <c r="D32" s="74"/>
      <c r="E32" s="10"/>
    </row>
    <row r="33" spans="3:5" x14ac:dyDescent="0.25">
      <c r="C33" s="73"/>
      <c r="D33" s="74"/>
      <c r="E33" s="10"/>
    </row>
    <row r="34" spans="3:5" x14ac:dyDescent="0.25">
      <c r="C34" s="73"/>
      <c r="D34" s="74"/>
      <c r="E34" s="10"/>
    </row>
    <row r="35" spans="3:5" x14ac:dyDescent="0.25">
      <c r="C35" s="10"/>
      <c r="D35" s="10"/>
      <c r="E35" s="10"/>
    </row>
    <row r="36" spans="3:5" x14ac:dyDescent="0.25">
      <c r="C36" s="10"/>
      <c r="D36" s="10"/>
      <c r="E36" s="10"/>
    </row>
    <row r="37" spans="3:5" x14ac:dyDescent="0.25">
      <c r="C37" s="10"/>
      <c r="D37" s="10"/>
      <c r="E37" s="10"/>
    </row>
  </sheetData>
  <mergeCells count="5">
    <mergeCell ref="F2:F3"/>
    <mergeCell ref="G2:G3"/>
    <mergeCell ref="H2:L2"/>
    <mergeCell ref="B8:C8"/>
    <mergeCell ref="B15:D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EAD8-67BD-476F-B5E4-29EB0FE96E64}">
  <sheetPr>
    <tabColor theme="7" tint="0.39997558519241921"/>
  </sheetPr>
  <dimension ref="B1:L46"/>
  <sheetViews>
    <sheetView showGridLines="0" zoomScale="90" zoomScaleNormal="90" workbookViewId="0">
      <selection activeCell="AB10" sqref="AB10"/>
    </sheetView>
  </sheetViews>
  <sheetFormatPr defaultColWidth="11.42578125" defaultRowHeight="15" x14ac:dyDescent="0.25"/>
  <cols>
    <col min="1" max="1" width="11.42578125" style="23"/>
    <col min="2" max="2" width="15.85546875" style="23" bestFit="1" customWidth="1"/>
    <col min="3" max="3" width="17.85546875" style="23" bestFit="1" customWidth="1"/>
    <col min="4" max="4" width="13" style="23" bestFit="1" customWidth="1"/>
    <col min="5" max="5" width="3.85546875" style="23" customWidth="1"/>
    <col min="6" max="7" width="7.140625" style="23" bestFit="1" customWidth="1"/>
    <col min="8" max="9" width="11.7109375" style="23" bestFit="1" customWidth="1"/>
    <col min="10" max="10" width="11.7109375" style="23" customWidth="1"/>
    <col min="11" max="12" width="11.7109375" style="23" bestFit="1" customWidth="1"/>
    <col min="13" max="16384" width="11.42578125" style="23"/>
  </cols>
  <sheetData>
    <row r="1" spans="2:12" ht="15.75" thickBot="1" x14ac:dyDescent="0.3"/>
    <row r="2" spans="2:12" x14ac:dyDescent="0.25">
      <c r="D2" s="41"/>
      <c r="E2" s="44"/>
      <c r="F2" s="79" t="s">
        <v>79</v>
      </c>
      <c r="G2" s="81" t="s">
        <v>80</v>
      </c>
      <c r="H2" s="83" t="s">
        <v>81</v>
      </c>
      <c r="I2" s="83"/>
      <c r="J2" s="83"/>
      <c r="K2" s="83"/>
      <c r="L2" s="84"/>
    </row>
    <row r="3" spans="2:12" ht="15.75" thickBot="1" x14ac:dyDescent="0.3">
      <c r="D3" s="52"/>
      <c r="E3" s="44"/>
      <c r="F3" s="80"/>
      <c r="G3" s="82"/>
      <c r="H3" s="71">
        <v>2</v>
      </c>
      <c r="I3" s="71" t="s">
        <v>13</v>
      </c>
      <c r="J3" s="71" t="s">
        <v>14</v>
      </c>
      <c r="K3" s="71" t="s">
        <v>15</v>
      </c>
      <c r="L3" s="59" t="s">
        <v>16</v>
      </c>
    </row>
    <row r="4" spans="2:12" x14ac:dyDescent="0.25">
      <c r="D4" s="52"/>
      <c r="E4" s="44"/>
      <c r="F4" s="9">
        <f>((0.15*1000)/(1*$C$9))/$C$13</f>
        <v>9.0909090909090898E-2</v>
      </c>
      <c r="G4" s="75">
        <f>0.15/$C$10</f>
        <v>9.9999999999999992E-2</v>
      </c>
      <c r="H4" s="14">
        <f t="shared" ref="H4:H23" si="0">((1+1*0.04)*$C$17*$C$11+(F4*$C$13)^2*$D$17*$C$11*7670.946429)/1000000</f>
        <v>221.72707033053342</v>
      </c>
      <c r="I4" s="14">
        <f t="shared" ref="I4:I23" si="1">((1+1*0.04)*$C$18*$C$11+(F4*$C$13)^2*$D$18*$C$11*7670.946429)/1000000</f>
        <v>325.44309721842808</v>
      </c>
      <c r="J4" s="14">
        <f t="shared" ref="J4:J23" si="2">((1+1*0.04)*$C$19*$C$11+(F4*$C$13)^2*$D$19*$C$11*7670.946429)/1000000</f>
        <v>388.56411756502746</v>
      </c>
      <c r="K4" s="14">
        <f t="shared" ref="K4:K23" si="3">((1+1*0.04)*$C$20*$C$11+(F4*$C$13)^2*$D$20*$C$11*7670.946429)/1000000</f>
        <v>459.93215899714784</v>
      </c>
      <c r="L4" s="14">
        <f t="shared" ref="L4:L23" si="4">((1+1*0.04)*$C$21*$C$11+(F4*$C$13)^2*$D$21*$C$11*7670.946429)/1000000</f>
        <v>539.48720899169791</v>
      </c>
    </row>
    <row r="5" spans="2:12" x14ac:dyDescent="0.25">
      <c r="D5" s="52"/>
      <c r="E5" s="44"/>
      <c r="F5" s="22">
        <f>((0.3*1000)/(1*$C$9))/$C$13</f>
        <v>0.1818181818181818</v>
      </c>
      <c r="G5" s="76">
        <f>0.3/$C$10</f>
        <v>0.19999999999999998</v>
      </c>
      <c r="H5" s="34">
        <f t="shared" si="0"/>
        <v>258.78988132213362</v>
      </c>
      <c r="I5" s="34">
        <f t="shared" si="1"/>
        <v>348.73718887371223</v>
      </c>
      <c r="J5" s="34">
        <f t="shared" si="2"/>
        <v>407.06367026010992</v>
      </c>
      <c r="K5" s="34">
        <f t="shared" si="3"/>
        <v>474.60383598859141</v>
      </c>
      <c r="L5" s="34">
        <f t="shared" si="4"/>
        <v>551.11763596679168</v>
      </c>
    </row>
    <row r="6" spans="2:12" x14ac:dyDescent="0.25">
      <c r="D6" s="56"/>
      <c r="E6" s="44"/>
      <c r="F6" s="22">
        <f>((0.45*1000)/(1*$C$9))/$C$13</f>
        <v>0.27272727272727271</v>
      </c>
      <c r="G6" s="76">
        <f>0.45/$C$10</f>
        <v>0.3</v>
      </c>
      <c r="H6" s="34">
        <f t="shared" si="0"/>
        <v>320.56123297480065</v>
      </c>
      <c r="I6" s="34">
        <f t="shared" si="1"/>
        <v>387.56067496585257</v>
      </c>
      <c r="J6" s="34">
        <f t="shared" si="2"/>
        <v>437.89625808524727</v>
      </c>
      <c r="K6" s="34">
        <f t="shared" si="3"/>
        <v>499.05663097433069</v>
      </c>
      <c r="L6" s="34">
        <f t="shared" si="4"/>
        <v>570.50168092528122</v>
      </c>
    </row>
    <row r="7" spans="2:12" ht="15.75" thickBot="1" x14ac:dyDescent="0.3">
      <c r="D7" s="57"/>
      <c r="E7" s="44"/>
      <c r="F7" s="22">
        <f>((0.6*1000)/(1*$C$9))/$C$13</f>
        <v>0.36363636363636359</v>
      </c>
      <c r="G7" s="75">
        <f>0.6/$C$10</f>
        <v>0.39999999999999997</v>
      </c>
      <c r="H7" s="34">
        <f t="shared" si="0"/>
        <v>407.04112528853454</v>
      </c>
      <c r="I7" s="34">
        <f t="shared" si="1"/>
        <v>441.91355549484905</v>
      </c>
      <c r="J7" s="34">
        <f t="shared" si="2"/>
        <v>481.06188104043963</v>
      </c>
      <c r="K7" s="34">
        <f t="shared" si="3"/>
        <v>533.29054395436572</v>
      </c>
      <c r="L7" s="34">
        <f t="shared" si="4"/>
        <v>597.63934386716664</v>
      </c>
    </row>
    <row r="8" spans="2:12" ht="15.75" thickBot="1" x14ac:dyDescent="0.3">
      <c r="B8" s="85" t="s">
        <v>73</v>
      </c>
      <c r="C8" s="86"/>
      <c r="D8" s="44"/>
      <c r="E8" s="44"/>
      <c r="F8" s="22">
        <f>((0.75*1000)/(1*$C$9))/$C$13</f>
        <v>0.45454545454545453</v>
      </c>
      <c r="G8" s="76">
        <f>0.75/$C$10</f>
        <v>0.5</v>
      </c>
      <c r="H8" s="34">
        <f t="shared" si="0"/>
        <v>518.22955826333509</v>
      </c>
      <c r="I8" s="34">
        <f t="shared" si="1"/>
        <v>511.79583046070161</v>
      </c>
      <c r="J8" s="34">
        <f t="shared" si="2"/>
        <v>536.56053912568677</v>
      </c>
      <c r="K8" s="34">
        <f t="shared" si="3"/>
        <v>577.30557492869639</v>
      </c>
      <c r="L8" s="34">
        <f t="shared" si="4"/>
        <v>632.53062479244784</v>
      </c>
    </row>
    <row r="9" spans="2:12" x14ac:dyDescent="0.25">
      <c r="B9" s="45" t="s">
        <v>70</v>
      </c>
      <c r="C9" s="45">
        <v>7.6210000000000004</v>
      </c>
      <c r="E9" s="44"/>
      <c r="F9" s="54">
        <f>((0.9*1000)/(1*$C$9))/$C$13</f>
        <v>0.54545454545454541</v>
      </c>
      <c r="G9" s="75">
        <f>0.9/$C$10</f>
        <v>0.6</v>
      </c>
      <c r="H9" s="34">
        <f t="shared" si="0"/>
        <v>654.12653189920263</v>
      </c>
      <c r="I9" s="34">
        <f t="shared" si="1"/>
        <v>597.20749986341025</v>
      </c>
      <c r="J9" s="34">
        <f t="shared" si="2"/>
        <v>604.39223234098904</v>
      </c>
      <c r="K9" s="34">
        <f t="shared" si="3"/>
        <v>631.10172389732281</v>
      </c>
      <c r="L9" s="34">
        <f t="shared" si="4"/>
        <v>675.17552370112492</v>
      </c>
    </row>
    <row r="10" spans="2:12" x14ac:dyDescent="0.25">
      <c r="B10" s="46" t="s">
        <v>71</v>
      </c>
      <c r="C10" s="46">
        <v>1.5</v>
      </c>
      <c r="E10" s="44"/>
      <c r="F10" s="54">
        <f>((1.05*1000)/(1*$C$9))/$C$13</f>
        <v>0.63636363636363624</v>
      </c>
      <c r="G10" s="76">
        <f>1.05/$C$10</f>
        <v>0.70000000000000007</v>
      </c>
      <c r="H10" s="34">
        <f t="shared" si="0"/>
        <v>814.73204619613659</v>
      </c>
      <c r="I10" s="34">
        <f t="shared" si="1"/>
        <v>698.14856370297503</v>
      </c>
      <c r="J10" s="34">
        <f t="shared" si="2"/>
        <v>684.55696068634609</v>
      </c>
      <c r="K10" s="34">
        <f t="shared" si="3"/>
        <v>694.67899086024477</v>
      </c>
      <c r="L10" s="34">
        <f t="shared" si="4"/>
        <v>725.57404059319754</v>
      </c>
    </row>
    <row r="11" spans="2:12" x14ac:dyDescent="0.25">
      <c r="B11" s="46" t="s">
        <v>72</v>
      </c>
      <c r="C11" s="46">
        <v>5</v>
      </c>
      <c r="E11" s="44"/>
      <c r="F11" s="54">
        <f>((1.2*1000)/(1*$C$9))/$C$13</f>
        <v>0.72727272727272718</v>
      </c>
      <c r="G11" s="76">
        <f>1.2/$C$10</f>
        <v>0.79999999999999993</v>
      </c>
      <c r="H11" s="34">
        <f t="shared" si="0"/>
        <v>1000.0461011541381</v>
      </c>
      <c r="I11" s="34">
        <f t="shared" si="1"/>
        <v>814.61902197939605</v>
      </c>
      <c r="J11" s="34">
        <f t="shared" si="2"/>
        <v>777.05472416175837</v>
      </c>
      <c r="K11" s="34">
        <f t="shared" si="3"/>
        <v>768.0373758174627</v>
      </c>
      <c r="L11" s="34">
        <f t="shared" si="4"/>
        <v>783.72617546866638</v>
      </c>
    </row>
    <row r="12" spans="2:12" x14ac:dyDescent="0.25">
      <c r="B12" s="46" t="s">
        <v>77</v>
      </c>
      <c r="C12" s="47">
        <v>0.1</v>
      </c>
      <c r="E12" s="44"/>
      <c r="F12" s="54">
        <f>((1.35*1000)/(1*$C$9))/$C$13</f>
        <v>0.81818181818181801</v>
      </c>
      <c r="G12" s="75">
        <f>1.35/$C$10</f>
        <v>0.9</v>
      </c>
      <c r="H12" s="34">
        <f t="shared" si="0"/>
        <v>1210.0686967732058</v>
      </c>
      <c r="I12" s="34">
        <f t="shared" si="1"/>
        <v>946.6188746926731</v>
      </c>
      <c r="J12" s="34">
        <f t="shared" si="2"/>
        <v>881.88552276722521</v>
      </c>
      <c r="K12" s="34">
        <f t="shared" si="3"/>
        <v>851.17687876897617</v>
      </c>
      <c r="L12" s="34">
        <f t="shared" si="4"/>
        <v>849.63192832753089</v>
      </c>
    </row>
    <row r="13" spans="2:12" x14ac:dyDescent="0.25">
      <c r="B13" s="46" t="s">
        <v>78</v>
      </c>
      <c r="C13" s="48">
        <f>(C10*1000)/(1*C9)*(1+C12)</f>
        <v>216.5070200761055</v>
      </c>
      <c r="E13" s="44"/>
      <c r="F13" s="54">
        <f>((1.5*1000)/(1*$C$9))/$C$13</f>
        <v>0.90909090909090906</v>
      </c>
      <c r="G13" s="76">
        <f>1.5/$C$10</f>
        <v>1</v>
      </c>
      <c r="H13" s="34">
        <f t="shared" si="0"/>
        <v>1444.7998330533405</v>
      </c>
      <c r="I13" s="34">
        <f t="shared" si="1"/>
        <v>1094.1481218428064</v>
      </c>
      <c r="J13" s="34">
        <f t="shared" si="2"/>
        <v>999.04935650274717</v>
      </c>
      <c r="K13" s="34">
        <f t="shared" si="3"/>
        <v>944.0974997147855</v>
      </c>
      <c r="L13" s="34">
        <f t="shared" si="4"/>
        <v>923.29129916979127</v>
      </c>
    </row>
    <row r="14" spans="2:12" ht="15.75" thickBot="1" x14ac:dyDescent="0.3">
      <c r="E14" s="44"/>
      <c r="F14" s="54">
        <f>((1.65*1000)/(1*$C$9))/$C$13</f>
        <v>0.99999999999999989</v>
      </c>
      <c r="G14" s="75">
        <f>1.65/$C$10</f>
        <v>1.0999999999999999</v>
      </c>
      <c r="H14" s="34">
        <f t="shared" si="0"/>
        <v>1704.2395099945418</v>
      </c>
      <c r="I14" s="34">
        <f t="shared" si="1"/>
        <v>1257.2067634297957</v>
      </c>
      <c r="J14" s="34">
        <f t="shared" si="2"/>
        <v>1128.5462253683243</v>
      </c>
      <c r="K14" s="34">
        <f t="shared" si="3"/>
        <v>1046.7992386548904</v>
      </c>
      <c r="L14" s="34">
        <f t="shared" si="4"/>
        <v>1004.7042879954474</v>
      </c>
    </row>
    <row r="15" spans="2:12" ht="15.75" thickBot="1" x14ac:dyDescent="0.3">
      <c r="B15" s="85" t="s">
        <v>91</v>
      </c>
      <c r="C15" s="87"/>
      <c r="D15" s="86"/>
      <c r="E15" s="44"/>
      <c r="F15" s="54">
        <f>((1.8*1000)/(1*$C$9))/$C$13</f>
        <v>1.0909090909090908</v>
      </c>
      <c r="G15" s="76">
        <f>1.8/$C$10</f>
        <v>1.2</v>
      </c>
      <c r="H15" s="34">
        <f t="shared" si="0"/>
        <v>1988.38772759681</v>
      </c>
      <c r="I15" s="34">
        <f t="shared" si="1"/>
        <v>1435.7947994536412</v>
      </c>
      <c r="J15" s="34">
        <f t="shared" si="2"/>
        <v>1270.3761293639559</v>
      </c>
      <c r="K15" s="34">
        <f t="shared" si="3"/>
        <v>1159.2820955892912</v>
      </c>
      <c r="L15" s="34">
        <f t="shared" si="4"/>
        <v>1093.8708948044994</v>
      </c>
    </row>
    <row r="16" spans="2:12" ht="42" customHeight="1" thickBot="1" x14ac:dyDescent="0.3">
      <c r="B16" s="68" t="s">
        <v>81</v>
      </c>
      <c r="C16" s="61" t="s">
        <v>47</v>
      </c>
      <c r="D16" s="62" t="s">
        <v>82</v>
      </c>
      <c r="F16" s="54">
        <f>((1.95*1000)/(1*$C$9))/$C$13</f>
        <v>1.1818181818181817</v>
      </c>
      <c r="G16" s="76">
        <f>1.95/$C$10</f>
        <v>1.3</v>
      </c>
      <c r="H16" s="34">
        <f t="shared" si="0"/>
        <v>2297.2444858601457</v>
      </c>
      <c r="I16" s="34">
        <f t="shared" si="1"/>
        <v>1629.9122299143426</v>
      </c>
      <c r="J16" s="34">
        <f t="shared" si="2"/>
        <v>1424.5390684896427</v>
      </c>
      <c r="K16" s="34">
        <f t="shared" si="3"/>
        <v>1281.5460705179873</v>
      </c>
      <c r="L16" s="34">
        <f t="shared" si="4"/>
        <v>1190.7911195969473</v>
      </c>
    </row>
    <row r="17" spans="2:12" x14ac:dyDescent="0.25">
      <c r="B17" s="16">
        <v>2</v>
      </c>
      <c r="C17" s="35">
        <v>40264000</v>
      </c>
      <c r="D17" s="18">
        <v>0.83145653510000006</v>
      </c>
      <c r="F17" s="54">
        <f>((2.1*1000)/(1*$C$9))/$C$13</f>
        <v>1.2727272727272725</v>
      </c>
      <c r="G17" s="75">
        <f>2.1/$C$10</f>
        <v>1.4000000000000001</v>
      </c>
      <c r="H17" s="34">
        <f t="shared" si="0"/>
        <v>2630.8097847845465</v>
      </c>
      <c r="I17" s="34">
        <f t="shared" si="1"/>
        <v>1839.5590548119001</v>
      </c>
      <c r="J17" s="34">
        <f t="shared" si="2"/>
        <v>1591.0350427453845</v>
      </c>
      <c r="K17" s="34">
        <f t="shared" si="3"/>
        <v>1413.5911634409792</v>
      </c>
      <c r="L17" s="34">
        <f t="shared" si="4"/>
        <v>1295.4649623727905</v>
      </c>
    </row>
    <row r="18" spans="2:12" x14ac:dyDescent="0.25">
      <c r="B18" s="16" t="s">
        <v>13</v>
      </c>
      <c r="C18" s="35">
        <v>61092000</v>
      </c>
      <c r="D18" s="18">
        <v>0.52257301099999998</v>
      </c>
      <c r="F18" s="54">
        <f>((2.25*1000)/(1*$C$9))/$C$13</f>
        <v>1.3636363636363635</v>
      </c>
      <c r="G18" s="76">
        <f>2.25/$C$10</f>
        <v>1.5</v>
      </c>
      <c r="H18" s="34">
        <f t="shared" si="0"/>
        <v>2989.0836243700164</v>
      </c>
      <c r="I18" s="34">
        <f t="shared" si="1"/>
        <v>2064.7352741463142</v>
      </c>
      <c r="J18" s="34">
        <f t="shared" si="2"/>
        <v>1769.8640521311816</v>
      </c>
      <c r="K18" s="34">
        <f t="shared" si="3"/>
        <v>1555.4173743582674</v>
      </c>
      <c r="L18" s="34">
        <f t="shared" si="4"/>
        <v>1407.8924231320304</v>
      </c>
    </row>
    <row r="19" spans="2:12" x14ac:dyDescent="0.25">
      <c r="B19" s="16" t="s">
        <v>14</v>
      </c>
      <c r="C19" s="35">
        <v>73538000</v>
      </c>
      <c r="D19" s="18">
        <v>0.41501369090000007</v>
      </c>
      <c r="F19" s="54">
        <f>((2.4*1000)/(1*$C$9))/$C$13</f>
        <v>1.4545454545454544</v>
      </c>
      <c r="G19" s="75">
        <f>2.4/$C$10</f>
        <v>1.5999999999999999</v>
      </c>
      <c r="H19" s="34">
        <f t="shared" si="0"/>
        <v>3372.0660046165522</v>
      </c>
      <c r="I19" s="34">
        <f t="shared" si="1"/>
        <v>2305.4408879175844</v>
      </c>
      <c r="J19" s="34">
        <f t="shared" si="2"/>
        <v>1961.0260966470335</v>
      </c>
      <c r="K19" s="34">
        <f t="shared" si="3"/>
        <v>1707.0247032698508</v>
      </c>
      <c r="L19" s="34">
        <f t="shared" si="4"/>
        <v>1528.0735018746657</v>
      </c>
    </row>
    <row r="20" spans="2:12" x14ac:dyDescent="0.25">
      <c r="B20" s="16" t="s">
        <v>15</v>
      </c>
      <c r="C20" s="35">
        <v>87508000</v>
      </c>
      <c r="D20" s="18">
        <v>0.32914021869999999</v>
      </c>
      <c r="F20" s="54">
        <f>((2.55*1000)/(1*$C$9))/$C$13</f>
        <v>1.5454545454545452</v>
      </c>
      <c r="G20" s="76">
        <f>2.55/$C$10</f>
        <v>1.7</v>
      </c>
      <c r="H20" s="34">
        <f t="shared" si="0"/>
        <v>3779.7569255241542</v>
      </c>
      <c r="I20" s="34">
        <f t="shared" si="1"/>
        <v>2561.6758961257106</v>
      </c>
      <c r="J20" s="34">
        <f t="shared" si="2"/>
        <v>2164.5211762929398</v>
      </c>
      <c r="K20" s="34">
        <f t="shared" si="3"/>
        <v>1868.4131501757297</v>
      </c>
      <c r="L20" s="34">
        <f t="shared" si="4"/>
        <v>1656.0081986006969</v>
      </c>
    </row>
    <row r="21" spans="2:12" x14ac:dyDescent="0.25">
      <c r="B21" s="16" t="s">
        <v>16</v>
      </c>
      <c r="C21" s="35">
        <v>103002000</v>
      </c>
      <c r="D21" s="38">
        <v>0.2609136829</v>
      </c>
      <c r="F21" s="54">
        <f>((2.7*1000)/(1*$C$9))/$C$13</f>
        <v>1.636363636363636</v>
      </c>
      <c r="G21" s="76">
        <f>2.7/$C$10</f>
        <v>1.8</v>
      </c>
      <c r="H21" s="34">
        <f t="shared" si="0"/>
        <v>4212.1563870928221</v>
      </c>
      <c r="I21" s="34">
        <f t="shared" si="1"/>
        <v>2833.4402987706922</v>
      </c>
      <c r="J21" s="34">
        <f t="shared" si="2"/>
        <v>2380.349291068901</v>
      </c>
      <c r="K21" s="34">
        <f t="shared" si="3"/>
        <v>2039.5827150759046</v>
      </c>
      <c r="L21" s="34">
        <f t="shared" si="4"/>
        <v>1791.6965133101232</v>
      </c>
    </row>
    <row r="22" spans="2:12" x14ac:dyDescent="0.25">
      <c r="B22" s="15"/>
      <c r="C22" s="65"/>
      <c r="D22" s="19"/>
      <c r="F22" s="54">
        <f>((2.85*1000)/(1*$C$9))/$C$13</f>
        <v>1.7272727272727273</v>
      </c>
      <c r="G22" s="75">
        <f>2.85/$C$10</f>
        <v>1.9000000000000001</v>
      </c>
      <c r="H22" s="34">
        <f t="shared" si="0"/>
        <v>4669.2643893225595</v>
      </c>
      <c r="I22" s="34">
        <f t="shared" si="1"/>
        <v>3120.7340958525315</v>
      </c>
      <c r="J22" s="34">
        <f t="shared" si="2"/>
        <v>2608.5104409749179</v>
      </c>
      <c r="K22" s="34">
        <f t="shared" si="3"/>
        <v>2220.5333979703755</v>
      </c>
      <c r="L22" s="34">
        <f t="shared" si="4"/>
        <v>1935.1384460029465</v>
      </c>
    </row>
    <row r="23" spans="2:12" x14ac:dyDescent="0.25">
      <c r="B23" s="10"/>
      <c r="C23" s="10"/>
      <c r="D23" s="10"/>
      <c r="F23" s="54">
        <f>((3*1000)/(1*$C$9))/$C$13</f>
        <v>1.8181818181818181</v>
      </c>
      <c r="G23" s="76">
        <f>3/$C$10</f>
        <v>2</v>
      </c>
      <c r="H23" s="34">
        <f t="shared" si="0"/>
        <v>5151.0809322133618</v>
      </c>
      <c r="I23" s="34">
        <f t="shared" si="1"/>
        <v>3423.5572873712254</v>
      </c>
      <c r="J23" s="34">
        <f t="shared" si="2"/>
        <v>2849.0046260109889</v>
      </c>
      <c r="K23" s="34">
        <f t="shared" si="3"/>
        <v>2411.2651988591419</v>
      </c>
      <c r="L23" s="34">
        <f t="shared" si="4"/>
        <v>2086.3339966791646</v>
      </c>
    </row>
    <row r="26" spans="2:12" x14ac:dyDescent="0.25">
      <c r="C26" s="10"/>
      <c r="D26" s="10"/>
      <c r="E26" s="10"/>
      <c r="F26" s="10"/>
      <c r="G26" s="10"/>
      <c r="H26" s="10"/>
      <c r="I26" s="15"/>
      <c r="J26" s="65"/>
      <c r="K26" s="21"/>
    </row>
    <row r="27" spans="2:12" x14ac:dyDescent="0.25">
      <c r="C27" s="10"/>
      <c r="D27" s="10"/>
      <c r="E27" s="10"/>
      <c r="F27" s="10"/>
      <c r="G27" s="20"/>
      <c r="H27" s="10"/>
      <c r="I27" s="10"/>
    </row>
    <row r="28" spans="2:12" x14ac:dyDescent="0.25">
      <c r="C28" s="10"/>
      <c r="D28" s="10"/>
      <c r="E28" s="10"/>
      <c r="F28" s="10"/>
      <c r="G28" s="20"/>
      <c r="H28" s="10"/>
      <c r="I28" s="10"/>
    </row>
    <row r="29" spans="2:12" x14ac:dyDescent="0.25">
      <c r="C29" s="10"/>
      <c r="D29" s="10"/>
      <c r="E29" s="10"/>
      <c r="F29" s="10"/>
      <c r="G29" s="20"/>
      <c r="H29" s="10"/>
      <c r="I29" s="10"/>
    </row>
    <row r="30" spans="2:12" x14ac:dyDescent="0.25">
      <c r="C30" s="10"/>
      <c r="D30" s="10"/>
      <c r="E30" s="10"/>
      <c r="F30" s="10"/>
      <c r="G30" s="20"/>
      <c r="H30" s="10"/>
      <c r="I30" s="10"/>
    </row>
    <row r="31" spans="2:12" x14ac:dyDescent="0.25">
      <c r="C31" s="10"/>
      <c r="D31" s="10"/>
      <c r="E31" s="10"/>
      <c r="F31" s="10"/>
      <c r="G31" s="20"/>
      <c r="H31" s="10"/>
      <c r="I31" s="10"/>
    </row>
    <row r="32" spans="2:12" x14ac:dyDescent="0.25">
      <c r="C32" s="10"/>
      <c r="D32" s="10"/>
      <c r="E32" s="10"/>
      <c r="F32" s="10"/>
      <c r="G32" s="20"/>
      <c r="H32" s="10"/>
      <c r="I32" s="10"/>
    </row>
    <row r="33" spans="3:9" x14ac:dyDescent="0.25">
      <c r="C33" s="10"/>
      <c r="D33" s="10"/>
      <c r="E33" s="10"/>
      <c r="F33" s="10"/>
      <c r="G33" s="20"/>
      <c r="H33" s="10"/>
      <c r="I33" s="10"/>
    </row>
    <row r="34" spans="3:9" x14ac:dyDescent="0.25">
      <c r="C34" s="10"/>
      <c r="D34" s="10"/>
      <c r="E34" s="10"/>
      <c r="F34" s="10"/>
      <c r="G34" s="20"/>
      <c r="H34" s="10"/>
      <c r="I34" s="10"/>
    </row>
    <row r="35" spans="3:9" x14ac:dyDescent="0.25">
      <c r="C35" s="10"/>
      <c r="D35" s="10"/>
      <c r="E35" s="10"/>
      <c r="F35" s="10"/>
      <c r="G35" s="20"/>
      <c r="H35" s="10"/>
      <c r="I35" s="10"/>
    </row>
    <row r="36" spans="3:9" x14ac:dyDescent="0.25">
      <c r="C36" s="10"/>
      <c r="D36" s="10"/>
      <c r="E36" s="10"/>
      <c r="F36" s="10"/>
      <c r="G36" s="20"/>
      <c r="H36" s="10"/>
      <c r="I36" s="10"/>
    </row>
    <row r="37" spans="3:9" x14ac:dyDescent="0.25">
      <c r="C37" s="10"/>
      <c r="D37" s="10"/>
      <c r="E37" s="10"/>
      <c r="F37" s="10"/>
      <c r="G37" s="20"/>
      <c r="H37" s="10"/>
      <c r="I37" s="10"/>
    </row>
    <row r="38" spans="3:9" x14ac:dyDescent="0.25">
      <c r="C38" s="10"/>
      <c r="D38" s="10"/>
      <c r="E38" s="10"/>
      <c r="F38" s="10"/>
      <c r="G38" s="20"/>
      <c r="H38" s="10"/>
      <c r="I38" s="10"/>
    </row>
    <row r="39" spans="3:9" x14ac:dyDescent="0.25">
      <c r="C39" s="10"/>
      <c r="D39" s="10"/>
      <c r="E39" s="10"/>
      <c r="F39" s="10"/>
      <c r="G39" s="20"/>
      <c r="H39" s="10"/>
      <c r="I39" s="10"/>
    </row>
    <row r="40" spans="3:9" x14ac:dyDescent="0.25">
      <c r="C40" s="10"/>
      <c r="D40" s="10"/>
      <c r="E40" s="10"/>
      <c r="F40" s="10"/>
      <c r="G40" s="20"/>
      <c r="H40" s="10"/>
      <c r="I40" s="10"/>
    </row>
    <row r="41" spans="3:9" x14ac:dyDescent="0.25">
      <c r="C41" s="10"/>
      <c r="D41" s="10"/>
      <c r="E41" s="10"/>
      <c r="F41" s="10"/>
      <c r="G41" s="20"/>
      <c r="H41" s="10"/>
      <c r="I41" s="10"/>
    </row>
    <row r="42" spans="3:9" x14ac:dyDescent="0.25">
      <c r="C42" s="10"/>
      <c r="D42" s="10"/>
      <c r="E42" s="10"/>
      <c r="F42" s="10"/>
      <c r="G42" s="20"/>
      <c r="H42" s="10"/>
      <c r="I42" s="10"/>
    </row>
    <row r="43" spans="3:9" x14ac:dyDescent="0.25">
      <c r="C43" s="10"/>
      <c r="D43" s="10"/>
      <c r="E43" s="10"/>
      <c r="F43" s="10"/>
      <c r="G43" s="20"/>
      <c r="H43" s="10"/>
      <c r="I43" s="10"/>
    </row>
    <row r="44" spans="3:9" x14ac:dyDescent="0.25">
      <c r="C44" s="10"/>
      <c r="D44" s="10"/>
      <c r="E44" s="10"/>
      <c r="F44" s="10"/>
      <c r="G44" s="20"/>
      <c r="H44" s="10"/>
      <c r="I44" s="10"/>
    </row>
    <row r="45" spans="3:9" x14ac:dyDescent="0.25">
      <c r="C45" s="10"/>
      <c r="D45" s="10"/>
      <c r="E45" s="10"/>
      <c r="F45" s="10"/>
      <c r="G45" s="20"/>
      <c r="H45" s="10"/>
      <c r="I45" s="10"/>
    </row>
    <row r="46" spans="3:9" x14ac:dyDescent="0.25">
      <c r="C46" s="10"/>
      <c r="D46" s="10"/>
      <c r="E46" s="10"/>
      <c r="F46" s="10"/>
      <c r="G46" s="20"/>
      <c r="H46" s="10"/>
      <c r="I46" s="10"/>
    </row>
  </sheetData>
  <mergeCells count="5">
    <mergeCell ref="F2:F3"/>
    <mergeCell ref="G2:G3"/>
    <mergeCell ref="H2:L2"/>
    <mergeCell ref="B8:C8"/>
    <mergeCell ref="B15:D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905B-9FD6-47A7-95F9-A7BE69E3AECF}">
  <sheetPr>
    <tabColor theme="7" tint="0.39997558519241921"/>
  </sheetPr>
  <dimension ref="B1:M41"/>
  <sheetViews>
    <sheetView showGridLines="0" topLeftCell="E1" zoomScale="80" zoomScaleNormal="80" workbookViewId="0">
      <selection activeCell="K33" sqref="K33"/>
    </sheetView>
  </sheetViews>
  <sheetFormatPr defaultColWidth="11.42578125" defaultRowHeight="15" x14ac:dyDescent="0.25"/>
  <cols>
    <col min="1" max="1" width="11.42578125" style="23"/>
    <col min="2" max="2" width="14.85546875" style="23" bestFit="1" customWidth="1"/>
    <col min="3" max="3" width="17.5703125" style="23" bestFit="1" customWidth="1"/>
    <col min="4" max="4" width="12.140625" style="23" customWidth="1"/>
    <col min="5" max="5" width="3.85546875" style="23" customWidth="1"/>
    <col min="6" max="7" width="6" style="23" customWidth="1"/>
    <col min="8" max="12" width="11.7109375" style="23" bestFit="1" customWidth="1"/>
    <col min="13" max="16384" width="11.42578125" style="23"/>
  </cols>
  <sheetData>
    <row r="1" spans="2:12" ht="15.75" thickBot="1" x14ac:dyDescent="0.3"/>
    <row r="2" spans="2:12" x14ac:dyDescent="0.25">
      <c r="D2" s="41"/>
      <c r="E2" s="44"/>
      <c r="F2" s="79" t="s">
        <v>79</v>
      </c>
      <c r="G2" s="81" t="s">
        <v>80</v>
      </c>
      <c r="H2" s="88" t="s">
        <v>81</v>
      </c>
      <c r="I2" s="89"/>
      <c r="J2" s="89"/>
      <c r="K2" s="89"/>
      <c r="L2" s="90"/>
    </row>
    <row r="3" spans="2:12" ht="15.75" thickBot="1" x14ac:dyDescent="0.3">
      <c r="D3" s="52"/>
      <c r="E3" s="44"/>
      <c r="F3" s="80"/>
      <c r="G3" s="82"/>
      <c r="H3" s="49" t="s">
        <v>13</v>
      </c>
      <c r="I3" s="49" t="s">
        <v>14</v>
      </c>
      <c r="J3" s="49" t="s">
        <v>15</v>
      </c>
      <c r="K3" s="50" t="s">
        <v>16</v>
      </c>
      <c r="L3" s="51">
        <v>266</v>
      </c>
    </row>
    <row r="4" spans="2:12" x14ac:dyDescent="0.25">
      <c r="D4" s="52"/>
      <c r="E4" s="44"/>
      <c r="F4" s="9">
        <f>((0.35*1000)/(SQRT(3)*$C$9))/$C$13</f>
        <v>9.0909090909090912E-2</v>
      </c>
      <c r="G4" s="75">
        <f>0.35/$C$10</f>
        <v>9.9999999999999992E-2</v>
      </c>
      <c r="H4" s="14">
        <f t="shared" ref="H4:H23" si="0">((1+1*0.04)*$C$17*$C$11+(F4*$C$13)^2*$D$17*$C$11*7670.946429)/1000000</f>
        <v>644.75106696216369</v>
      </c>
      <c r="I4" s="14">
        <f t="shared" ref="I4:I23" si="1">((1+1*0.04)*$C$18*$C$11+(F4*$C$13)^2*$D$18*$C$11*7670.946429)/1000000</f>
        <v>772.25587883951152</v>
      </c>
      <c r="J4" s="14">
        <f t="shared" ref="J4:J23" si="2">((1+1*0.04)*$C$19*$C$11+(F4*$C$13)^2*$D$19*$C$11*7670.946429)/1000000</f>
        <v>916.00013604025935</v>
      </c>
      <c r="K4" s="14">
        <f t="shared" ref="K4:K23" si="3">((1+1*0.04)*$C$20*$C$11+(F4*$C$13)^2*$D$20*$C$11*7670.946429)/1000000</f>
        <v>1075.9112312692182</v>
      </c>
      <c r="L4" s="14">
        <f t="shared" ref="L4:L23" si="4">((1+1*0.04)*$C$21*$C$11+(F4*$C$13)^2*$D$21*$C$11*7670.946429)/1000000</f>
        <v>1283.6649067848655</v>
      </c>
    </row>
    <row r="5" spans="2:12" x14ac:dyDescent="0.25">
      <c r="D5" s="52"/>
      <c r="E5" s="44"/>
      <c r="F5" s="22">
        <f>((0.7*1000)/(SQRT(3)*$C$9))/$C$13</f>
        <v>0.18181818181818182</v>
      </c>
      <c r="G5" s="76">
        <f>0.7/$C$10</f>
        <v>0.19999999999999998</v>
      </c>
      <c r="H5" s="14">
        <f t="shared" si="0"/>
        <v>672.93386784865504</v>
      </c>
      <c r="I5" s="14">
        <f t="shared" si="1"/>
        <v>794.63791535804592</v>
      </c>
      <c r="J5" s="14">
        <f t="shared" si="2"/>
        <v>933.75094416103741</v>
      </c>
      <c r="K5" s="14">
        <f t="shared" si="3"/>
        <v>1089.9825250768731</v>
      </c>
      <c r="L5" s="14">
        <f t="shared" si="4"/>
        <v>1294.9380271394621</v>
      </c>
    </row>
    <row r="6" spans="2:12" x14ac:dyDescent="0.25">
      <c r="D6" s="56"/>
      <c r="E6" s="44"/>
      <c r="F6" s="22">
        <f>((1.05*1000)/(SQRT(3)*$C$9))/$C$13</f>
        <v>0.27272727272727276</v>
      </c>
      <c r="G6" s="76">
        <f>1.05/$C$10</f>
        <v>0.3</v>
      </c>
      <c r="H6" s="14">
        <f t="shared" si="0"/>
        <v>719.90520265947362</v>
      </c>
      <c r="I6" s="14">
        <f t="shared" si="1"/>
        <v>831.94130955560354</v>
      </c>
      <c r="J6" s="14">
        <f t="shared" si="2"/>
        <v>963.33562436233433</v>
      </c>
      <c r="K6" s="14">
        <f t="shared" si="3"/>
        <v>1113.4346814229643</v>
      </c>
      <c r="L6" s="14">
        <f t="shared" si="4"/>
        <v>1313.7265610637894</v>
      </c>
    </row>
    <row r="7" spans="2:12" ht="15.75" thickBot="1" x14ac:dyDescent="0.3">
      <c r="D7" s="57"/>
      <c r="E7" s="44"/>
      <c r="F7" s="22">
        <f>((1.4*1000)/(SQRT(3)*$C$9))/$C$13</f>
        <v>0.36363636363636365</v>
      </c>
      <c r="G7" s="76">
        <f>1.4/$C$10</f>
        <v>0.39999999999999997</v>
      </c>
      <c r="H7" s="14">
        <f t="shared" si="0"/>
        <v>785.66507139461987</v>
      </c>
      <c r="I7" s="34">
        <f t="shared" si="1"/>
        <v>884.16606143218382</v>
      </c>
      <c r="J7" s="34">
        <f t="shared" si="2"/>
        <v>1004.75417664415</v>
      </c>
      <c r="K7" s="34">
        <f t="shared" si="3"/>
        <v>1146.2677003074921</v>
      </c>
      <c r="L7" s="34">
        <f t="shared" si="4"/>
        <v>1340.030508557848</v>
      </c>
    </row>
    <row r="8" spans="2:12" ht="15.75" thickBot="1" x14ac:dyDescent="0.3">
      <c r="B8" s="85" t="s">
        <v>73</v>
      </c>
      <c r="C8" s="86"/>
      <c r="D8" s="44"/>
      <c r="E8" s="44"/>
      <c r="F8" s="22">
        <f>((1.75*1000)/(SQRT(3)*$C$9))/$C$13</f>
        <v>0.45454545454545453</v>
      </c>
      <c r="G8" s="76">
        <f>1.75/$C$10</f>
        <v>0.5</v>
      </c>
      <c r="H8" s="14">
        <f t="shared" si="0"/>
        <v>870.21347405409347</v>
      </c>
      <c r="I8" s="34">
        <f t="shared" si="1"/>
        <v>951.31217098778723</v>
      </c>
      <c r="J8" s="34">
        <f t="shared" si="2"/>
        <v>1058.0066010064843</v>
      </c>
      <c r="K8" s="34">
        <f t="shared" si="3"/>
        <v>1188.4815817304564</v>
      </c>
      <c r="L8" s="34">
        <f t="shared" si="4"/>
        <v>1373.8498696216373</v>
      </c>
    </row>
    <row r="9" spans="2:12" x14ac:dyDescent="0.25">
      <c r="B9" s="45" t="s">
        <v>70</v>
      </c>
      <c r="C9" s="45">
        <v>13.2</v>
      </c>
      <c r="E9" s="44"/>
      <c r="F9" s="54">
        <f>((2.1*1000)/(SQRT(3)*$C$9))/$C$13</f>
        <v>0.54545454545454553</v>
      </c>
      <c r="G9" s="76">
        <f>2.1/$C$10</f>
        <v>0.6</v>
      </c>
      <c r="H9" s="14">
        <f t="shared" si="0"/>
        <v>973.55041063789463</v>
      </c>
      <c r="I9" s="34">
        <f t="shared" si="1"/>
        <v>1033.3796382224139</v>
      </c>
      <c r="J9" s="34">
        <f t="shared" si="2"/>
        <v>1123.0928974493374</v>
      </c>
      <c r="K9" s="34">
        <f t="shared" si="3"/>
        <v>1240.0763256918574</v>
      </c>
      <c r="L9" s="34">
        <f t="shared" si="4"/>
        <v>1415.184644255158</v>
      </c>
    </row>
    <row r="10" spans="2:12" x14ac:dyDescent="0.25">
      <c r="B10" s="46" t="s">
        <v>71</v>
      </c>
      <c r="C10" s="46">
        <v>3.5</v>
      </c>
      <c r="E10" s="44"/>
      <c r="F10" s="54">
        <f>((2.45*1000)/(SQRT(3)*$C$9))/$C$13</f>
        <v>0.63636363636363646</v>
      </c>
      <c r="G10" s="76">
        <f>2.45/$C$10</f>
        <v>0.70000000000000007</v>
      </c>
      <c r="H10" s="14">
        <f t="shared" si="0"/>
        <v>1095.6758811460234</v>
      </c>
      <c r="I10" s="34">
        <f t="shared" si="1"/>
        <v>1130.3684631360632</v>
      </c>
      <c r="J10" s="34">
        <f t="shared" si="2"/>
        <v>1200.0130659727095</v>
      </c>
      <c r="K10" s="34">
        <f t="shared" si="3"/>
        <v>1301.0519321916947</v>
      </c>
      <c r="L10" s="34">
        <f t="shared" si="4"/>
        <v>1464.0348324584093</v>
      </c>
    </row>
    <row r="11" spans="2:12" x14ac:dyDescent="0.25">
      <c r="B11" s="46" t="s">
        <v>72</v>
      </c>
      <c r="C11" s="46">
        <v>10</v>
      </c>
      <c r="E11" s="44"/>
      <c r="F11" s="54">
        <f>((2.8*1000)/(SQRT(3)*$C$9))/$C$13</f>
        <v>0.72727272727272729</v>
      </c>
      <c r="G11" s="76">
        <f>2.8/$C$10</f>
        <v>0.79999999999999993</v>
      </c>
      <c r="H11" s="14">
        <f t="shared" si="0"/>
        <v>1236.5898855784792</v>
      </c>
      <c r="I11" s="34">
        <f t="shared" si="1"/>
        <v>1242.2786457287355</v>
      </c>
      <c r="J11" s="34">
        <f t="shared" si="2"/>
        <v>1288.7671065765999</v>
      </c>
      <c r="K11" s="34">
        <f t="shared" si="3"/>
        <v>1371.4084012299686</v>
      </c>
      <c r="L11" s="34">
        <f t="shared" si="4"/>
        <v>1520.4004342313917</v>
      </c>
    </row>
    <row r="12" spans="2:12" x14ac:dyDescent="0.25">
      <c r="B12" s="46" t="s">
        <v>77</v>
      </c>
      <c r="C12" s="47">
        <v>0.1</v>
      </c>
      <c r="E12" s="44"/>
      <c r="F12" s="54">
        <f>((3.15*1000)/(SQRT(3)*$C$9))/$C$13</f>
        <v>0.81818181818181834</v>
      </c>
      <c r="G12" s="76">
        <f>3.15/$C$10</f>
        <v>0.9</v>
      </c>
      <c r="H12" s="14">
        <f t="shared" si="0"/>
        <v>1396.2924239352631</v>
      </c>
      <c r="I12" s="34">
        <f t="shared" si="1"/>
        <v>1369.1101860004308</v>
      </c>
      <c r="J12" s="34">
        <f t="shared" si="2"/>
        <v>1389.3550192610091</v>
      </c>
      <c r="K12" s="34">
        <f t="shared" si="3"/>
        <v>1451.145732806679</v>
      </c>
      <c r="L12" s="34">
        <f t="shared" si="4"/>
        <v>1584.2814495741052</v>
      </c>
    </row>
    <row r="13" spans="2:12" x14ac:dyDescent="0.25">
      <c r="B13" s="46" t="s">
        <v>78</v>
      </c>
      <c r="C13" s="48">
        <f>(C10*1000)/(SQRT(3)*C9)*(1+C12)</f>
        <v>168.39382851364087</v>
      </c>
      <c r="E13" s="44"/>
      <c r="F13" s="54">
        <f>((3.5*1000)/(SQRT(3)*$C$9))/$C$13</f>
        <v>0.90909090909090906</v>
      </c>
      <c r="G13" s="76">
        <f>3.5/$C$10</f>
        <v>1</v>
      </c>
      <c r="H13" s="14">
        <f t="shared" si="0"/>
        <v>1574.783496216374</v>
      </c>
      <c r="I13" s="34">
        <f t="shared" si="1"/>
        <v>1510.8630839511491</v>
      </c>
      <c r="J13" s="34">
        <f t="shared" si="2"/>
        <v>1501.7768040259371</v>
      </c>
      <c r="K13" s="34">
        <f t="shared" si="3"/>
        <v>1540.2639269218257</v>
      </c>
      <c r="L13" s="34">
        <f t="shared" si="4"/>
        <v>1655.6778784865496</v>
      </c>
    </row>
    <row r="14" spans="2:12" ht="15.75" thickBot="1" x14ac:dyDescent="0.3">
      <c r="E14" s="44"/>
      <c r="F14" s="22">
        <f>((3.85*1000)/(SQRT(3)*$C$9))/$C$13</f>
        <v>1</v>
      </c>
      <c r="G14" s="76">
        <f>3.85/$C$10</f>
        <v>1.1000000000000001</v>
      </c>
      <c r="H14" s="14">
        <f t="shared" si="0"/>
        <v>1772.0631024218126</v>
      </c>
      <c r="I14" s="34">
        <f t="shared" si="1"/>
        <v>1667.5373395808901</v>
      </c>
      <c r="J14" s="34">
        <f t="shared" si="2"/>
        <v>1626.032460871384</v>
      </c>
      <c r="K14" s="34">
        <f t="shared" si="3"/>
        <v>1638.762983575409</v>
      </c>
      <c r="L14" s="34">
        <f t="shared" si="4"/>
        <v>1734.589720968725</v>
      </c>
    </row>
    <row r="15" spans="2:12" ht="15.75" thickBot="1" x14ac:dyDescent="0.3">
      <c r="B15" s="85" t="s">
        <v>91</v>
      </c>
      <c r="C15" s="87"/>
      <c r="D15" s="86"/>
      <c r="E15" s="44"/>
      <c r="F15" s="22">
        <f>((4.2*1000)/(SQRT(3)*$C$9))/$C$13</f>
        <v>1.0909090909090911</v>
      </c>
      <c r="G15" s="76">
        <f>4.2/$C$10</f>
        <v>1.2</v>
      </c>
      <c r="H15" s="14">
        <f t="shared" si="0"/>
        <v>1988.1312425515787</v>
      </c>
      <c r="I15" s="34">
        <f t="shared" si="1"/>
        <v>1839.1329528896551</v>
      </c>
      <c r="J15" s="34">
        <f t="shared" si="2"/>
        <v>1762.1219897973501</v>
      </c>
      <c r="K15" s="34">
        <f t="shared" si="3"/>
        <v>1746.6429027674294</v>
      </c>
      <c r="L15" s="34">
        <f t="shared" si="4"/>
        <v>1821.0169770206319</v>
      </c>
    </row>
    <row r="16" spans="2:12" ht="51.75" customHeight="1" thickBot="1" x14ac:dyDescent="0.3">
      <c r="B16" s="60" t="s">
        <v>81</v>
      </c>
      <c r="C16" s="61" t="s">
        <v>47</v>
      </c>
      <c r="D16" s="62" t="s">
        <v>82</v>
      </c>
      <c r="F16" s="22">
        <f>((4.55*1000)/(SQRT(3)*$C$9))/$C$13</f>
        <v>1.1818181818181819</v>
      </c>
      <c r="G16" s="76">
        <f>4.55/$C$10</f>
        <v>1.3</v>
      </c>
      <c r="H16" s="14">
        <f t="shared" si="0"/>
        <v>2222.9879166056726</v>
      </c>
      <c r="I16" s="34">
        <f t="shared" si="1"/>
        <v>2025.6499238774416</v>
      </c>
      <c r="J16" s="34">
        <f t="shared" si="2"/>
        <v>1910.0453908038342</v>
      </c>
      <c r="K16" s="34">
        <f t="shared" si="3"/>
        <v>1863.9036844978855</v>
      </c>
      <c r="L16" s="34">
        <f t="shared" si="4"/>
        <v>1914.9596466422688</v>
      </c>
    </row>
    <row r="17" spans="2:13" x14ac:dyDescent="0.25">
      <c r="B17" s="2" t="s">
        <v>13</v>
      </c>
      <c r="C17" s="55">
        <v>61092000</v>
      </c>
      <c r="D17" s="58">
        <v>0.52257301099999998</v>
      </c>
      <c r="F17" s="22">
        <f>((4.9*1000)/(SQRT(3)*$C$9))/$C$13</f>
        <v>1.2727272727272729</v>
      </c>
      <c r="G17" s="76">
        <f>4.9/$C$10</f>
        <v>1.4000000000000001</v>
      </c>
      <c r="H17" s="14">
        <f t="shared" si="0"/>
        <v>2476.6331245840929</v>
      </c>
      <c r="I17" s="34">
        <f t="shared" si="1"/>
        <v>2227.0882525442526</v>
      </c>
      <c r="J17" s="34">
        <f t="shared" si="2"/>
        <v>2069.8026638908377</v>
      </c>
      <c r="K17" s="34">
        <f t="shared" si="3"/>
        <v>1990.545328766779</v>
      </c>
      <c r="L17" s="34">
        <f t="shared" si="4"/>
        <v>2016.4177298336372</v>
      </c>
    </row>
    <row r="18" spans="2:13" x14ac:dyDescent="0.25">
      <c r="B18" s="18" t="s">
        <v>14</v>
      </c>
      <c r="C18" s="33">
        <v>73538000</v>
      </c>
      <c r="D18" s="53">
        <v>0.41501369090000007</v>
      </c>
      <c r="F18" s="22">
        <f>((5.25*1000)/(SQRT(3)*$C$9))/$C$13</f>
        <v>1.3636363636363638</v>
      </c>
      <c r="G18" s="76">
        <f>5.25/$C$10</f>
        <v>1.5</v>
      </c>
      <c r="H18" s="14">
        <f t="shared" si="0"/>
        <v>2749.0668664868417</v>
      </c>
      <c r="I18" s="34">
        <f t="shared" si="1"/>
        <v>2443.4479388900854</v>
      </c>
      <c r="J18" s="34">
        <f t="shared" si="2"/>
        <v>2241.3938090583592</v>
      </c>
      <c r="K18" s="34">
        <f t="shared" si="3"/>
        <v>2126.5678355741079</v>
      </c>
      <c r="L18" s="34">
        <f t="shared" si="4"/>
        <v>2125.3912265947365</v>
      </c>
    </row>
    <row r="19" spans="2:13" x14ac:dyDescent="0.25">
      <c r="B19" s="18" t="s">
        <v>15</v>
      </c>
      <c r="C19" s="33">
        <v>87508000</v>
      </c>
      <c r="D19" s="53">
        <v>0.32914021869999999</v>
      </c>
      <c r="F19" s="22">
        <f>((5.6*1000)/(SQRT(3)*$C$9))/$C$13</f>
        <v>1.4545454545454546</v>
      </c>
      <c r="G19" s="76">
        <f>5.6/$C$10</f>
        <v>1.5999999999999999</v>
      </c>
      <c r="H19" s="14">
        <f t="shared" si="0"/>
        <v>3040.2891423139172</v>
      </c>
      <c r="I19" s="34">
        <f t="shared" si="1"/>
        <v>2674.7289829149413</v>
      </c>
      <c r="J19" s="34">
        <f t="shared" si="2"/>
        <v>2424.8188263063994</v>
      </c>
      <c r="K19" s="34">
        <f t="shared" si="3"/>
        <v>2271.9712049198738</v>
      </c>
      <c r="L19" s="34">
        <f t="shared" si="4"/>
        <v>2241.8801369255671</v>
      </c>
    </row>
    <row r="20" spans="2:13" x14ac:dyDescent="0.25">
      <c r="B20" s="18" t="s">
        <v>16</v>
      </c>
      <c r="C20" s="33">
        <v>103002000</v>
      </c>
      <c r="D20" s="53">
        <v>0.2609136829</v>
      </c>
      <c r="F20" s="22">
        <f>((5.95*1000)/(SQRT(3)*$C$9))/$C$13</f>
        <v>1.5454545454545456</v>
      </c>
      <c r="G20" s="76">
        <f>5.95/$C$10</f>
        <v>1.7</v>
      </c>
      <c r="H20" s="14">
        <f t="shared" si="0"/>
        <v>3350.2999520653216</v>
      </c>
      <c r="I20" s="34">
        <f t="shared" si="1"/>
        <v>2920.9313846188211</v>
      </c>
      <c r="J20" s="34">
        <f t="shared" si="2"/>
        <v>2620.0777156349591</v>
      </c>
      <c r="K20" s="34">
        <f t="shared" si="3"/>
        <v>2426.7554368040765</v>
      </c>
      <c r="L20" s="34">
        <f t="shared" si="4"/>
        <v>2365.8844608261284</v>
      </c>
    </row>
    <row r="21" spans="2:13" x14ac:dyDescent="0.25">
      <c r="B21" s="18">
        <v>266</v>
      </c>
      <c r="C21" s="33">
        <v>123068000</v>
      </c>
      <c r="D21" s="53">
        <v>0.2090292044</v>
      </c>
      <c r="F21" s="54">
        <f>((6.3*1000)/(SQRT(3)*$C$9))/$C$13</f>
        <v>1.6363636363636367</v>
      </c>
      <c r="G21" s="76">
        <f>6.3/$C$10</f>
        <v>1.8</v>
      </c>
      <c r="H21" s="14">
        <f t="shared" si="0"/>
        <v>3679.0992957410522</v>
      </c>
      <c r="I21" s="34">
        <f t="shared" si="1"/>
        <v>3182.0551440017234</v>
      </c>
      <c r="J21" s="34">
        <f t="shared" si="2"/>
        <v>2827.1704770440374</v>
      </c>
      <c r="K21" s="34">
        <f t="shared" si="3"/>
        <v>2590.9205312267159</v>
      </c>
      <c r="L21" s="34">
        <f t="shared" si="4"/>
        <v>2497.4041982964209</v>
      </c>
    </row>
    <row r="22" spans="2:13" x14ac:dyDescent="0.25">
      <c r="F22" s="54">
        <f>((6.65*1000)/(SQRT(3)*$C$9))/$C$13</f>
        <v>1.7272727272727271</v>
      </c>
      <c r="G22" s="76">
        <f>6.65/$C$10</f>
        <v>1.9000000000000001</v>
      </c>
      <c r="H22" s="14">
        <f t="shared" si="0"/>
        <v>4026.6871733411094</v>
      </c>
      <c r="I22" s="34">
        <f t="shared" si="1"/>
        <v>3458.1002610636474</v>
      </c>
      <c r="J22" s="34">
        <f t="shared" si="2"/>
        <v>3046.0971105336334</v>
      </c>
      <c r="K22" s="34">
        <f t="shared" si="3"/>
        <v>2764.4664881877907</v>
      </c>
      <c r="L22" s="34">
        <f t="shared" si="4"/>
        <v>2636.4393493364437</v>
      </c>
    </row>
    <row r="23" spans="2:13" x14ac:dyDescent="0.25">
      <c r="F23" s="54">
        <f>((7*1000)/(SQRT(3)*$C$9))/$C$13</f>
        <v>1.8181818181818181</v>
      </c>
      <c r="G23" s="76">
        <f>7/$C$10</f>
        <v>2</v>
      </c>
      <c r="H23" s="14">
        <f t="shared" si="0"/>
        <v>4393.0635848654956</v>
      </c>
      <c r="I23" s="34">
        <f t="shared" si="1"/>
        <v>3749.0667358045953</v>
      </c>
      <c r="J23" s="34">
        <f t="shared" si="2"/>
        <v>3276.857616103749</v>
      </c>
      <c r="K23" s="34">
        <f t="shared" si="3"/>
        <v>2947.3933076873027</v>
      </c>
      <c r="L23" s="34">
        <f t="shared" si="4"/>
        <v>2782.9899139461986</v>
      </c>
    </row>
    <row r="24" spans="2:13" x14ac:dyDescent="0.25">
      <c r="F24" s="63"/>
      <c r="G24" s="20"/>
      <c r="H24" s="64"/>
      <c r="I24" s="64"/>
      <c r="J24" s="64"/>
      <c r="K24" s="64"/>
      <c r="L24" s="64"/>
      <c r="M24" s="10"/>
    </row>
    <row r="25" spans="2:13" x14ac:dyDescent="0.25">
      <c r="F25" s="63"/>
      <c r="G25" s="20"/>
      <c r="H25" s="64"/>
      <c r="I25" s="64"/>
      <c r="J25" s="64"/>
      <c r="K25" s="64"/>
      <c r="L25" s="64"/>
      <c r="M25" s="10"/>
    </row>
    <row r="26" spans="2:13" x14ac:dyDescent="0.25">
      <c r="F26" s="20"/>
      <c r="G26" s="20"/>
      <c r="H26" s="64"/>
      <c r="I26" s="64"/>
      <c r="J26" s="64"/>
      <c r="K26" s="64"/>
      <c r="L26" s="64"/>
      <c r="M26" s="10"/>
    </row>
    <row r="27" spans="2:13" x14ac:dyDescent="0.25">
      <c r="F27" s="20"/>
      <c r="G27" s="20"/>
      <c r="H27" s="64"/>
      <c r="I27" s="64"/>
      <c r="J27" s="64"/>
      <c r="K27" s="64"/>
      <c r="L27" s="64"/>
      <c r="M27" s="10"/>
    </row>
    <row r="28" spans="2:13" x14ac:dyDescent="0.25">
      <c r="F28" s="10"/>
      <c r="G28" s="15"/>
      <c r="H28" s="65"/>
      <c r="I28" s="21"/>
      <c r="J28" s="10"/>
      <c r="K28" s="10"/>
      <c r="L28" s="10"/>
      <c r="M28" s="10"/>
    </row>
    <row r="29" spans="2:13" x14ac:dyDescent="0.25">
      <c r="G29" s="15"/>
      <c r="H29" s="65"/>
      <c r="I29" s="19"/>
    </row>
    <row r="30" spans="2:13" x14ac:dyDescent="0.25">
      <c r="G30" s="15"/>
      <c r="H30" s="65"/>
      <c r="I30" s="19"/>
    </row>
    <row r="31" spans="2:13" x14ac:dyDescent="0.25">
      <c r="G31" s="15"/>
      <c r="H31" s="65"/>
      <c r="I31" s="19"/>
    </row>
    <row r="32" spans="2:13" x14ac:dyDescent="0.25">
      <c r="G32" s="42"/>
      <c r="H32" s="66"/>
      <c r="I32" s="17"/>
    </row>
    <row r="33" spans="3:9" x14ac:dyDescent="0.25">
      <c r="G33" s="42"/>
      <c r="H33" s="66"/>
      <c r="I33" s="17"/>
    </row>
    <row r="35" spans="3:9" x14ac:dyDescent="0.25">
      <c r="C35" s="21"/>
      <c r="D35" s="65"/>
      <c r="E35" s="21"/>
      <c r="F35" s="10"/>
    </row>
    <row r="36" spans="3:9" x14ac:dyDescent="0.25">
      <c r="C36" s="15"/>
      <c r="D36" s="65"/>
      <c r="E36" s="21"/>
      <c r="F36" s="10"/>
    </row>
    <row r="37" spans="3:9" x14ac:dyDescent="0.25">
      <c r="C37" s="15"/>
      <c r="D37" s="65"/>
      <c r="E37" s="21"/>
      <c r="F37" s="10"/>
    </row>
    <row r="38" spans="3:9" x14ac:dyDescent="0.25">
      <c r="C38" s="15"/>
      <c r="D38" s="65"/>
      <c r="E38" s="21"/>
      <c r="F38" s="10"/>
    </row>
    <row r="39" spans="3:9" x14ac:dyDescent="0.25">
      <c r="C39" s="15"/>
      <c r="D39" s="65"/>
      <c r="E39" s="21"/>
      <c r="F39" s="10"/>
    </row>
    <row r="40" spans="3:9" x14ac:dyDescent="0.25">
      <c r="C40" s="15"/>
      <c r="D40" s="65"/>
      <c r="E40" s="19"/>
      <c r="F40" s="10"/>
    </row>
    <row r="41" spans="3:9" x14ac:dyDescent="0.25">
      <c r="C41" s="10"/>
      <c r="D41" s="10"/>
      <c r="E41" s="10"/>
      <c r="F41" s="10"/>
    </row>
  </sheetData>
  <mergeCells count="5">
    <mergeCell ref="F2:F3"/>
    <mergeCell ref="G2:G3"/>
    <mergeCell ref="H2:L2"/>
    <mergeCell ref="B8:C8"/>
    <mergeCell ref="B15:D1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6364-7517-40B4-AC6A-2093B8183275}">
  <sheetPr>
    <tabColor theme="7" tint="0.39997558519241921"/>
  </sheetPr>
  <dimension ref="B1:Z48"/>
  <sheetViews>
    <sheetView showGridLines="0" zoomScale="80" zoomScaleNormal="80" workbookViewId="0">
      <selection activeCell="C26" sqref="C26"/>
    </sheetView>
  </sheetViews>
  <sheetFormatPr defaultColWidth="11.42578125" defaultRowHeight="15" x14ac:dyDescent="0.25"/>
  <cols>
    <col min="2" max="2" width="15.85546875" bestFit="1" customWidth="1"/>
    <col min="3" max="3" width="17.85546875" bestFit="1" customWidth="1"/>
    <col min="4" max="4" width="13" style="23" bestFit="1" customWidth="1"/>
    <col min="5" max="5" width="3.85546875" style="23" customWidth="1"/>
    <col min="6" max="6" width="6" bestFit="1" customWidth="1"/>
    <col min="7" max="7" width="5.5703125" bestFit="1" customWidth="1"/>
    <col min="8" max="9" width="11.7109375" bestFit="1" customWidth="1"/>
    <col min="10" max="10" width="11.7109375" customWidth="1"/>
    <col min="11" max="12" width="11.7109375" bestFit="1" customWidth="1"/>
  </cols>
  <sheetData>
    <row r="1" spans="2:12" s="23" customFormat="1" ht="15.75" thickBot="1" x14ac:dyDescent="0.3"/>
    <row r="2" spans="2:12" x14ac:dyDescent="0.25">
      <c r="D2" s="41"/>
      <c r="E2" s="44"/>
      <c r="F2" s="79" t="s">
        <v>79</v>
      </c>
      <c r="G2" s="81" t="s">
        <v>80</v>
      </c>
      <c r="H2" s="83" t="s">
        <v>81</v>
      </c>
      <c r="I2" s="83"/>
      <c r="J2" s="83"/>
      <c r="K2" s="83"/>
      <c r="L2" s="84"/>
    </row>
    <row r="3" spans="2:12" ht="15.75" thickBot="1" x14ac:dyDescent="0.3">
      <c r="D3" s="52"/>
      <c r="E3" s="44"/>
      <c r="F3" s="80"/>
      <c r="G3" s="82"/>
      <c r="H3" s="69" t="s">
        <v>14</v>
      </c>
      <c r="I3" s="69" t="s">
        <v>15</v>
      </c>
      <c r="J3" s="69" t="s">
        <v>16</v>
      </c>
      <c r="K3" s="69">
        <v>266</v>
      </c>
      <c r="L3" s="70">
        <v>336</v>
      </c>
    </row>
    <row r="4" spans="2:12" x14ac:dyDescent="0.25">
      <c r="D4" s="52"/>
      <c r="E4" s="44"/>
      <c r="F4" s="9">
        <f>((1*1000)/(SQRT(3)*$C$9))/$C$13</f>
        <v>9.0909090909090912E-2</v>
      </c>
      <c r="G4" s="75">
        <f>1/$C$10</f>
        <v>0.1</v>
      </c>
      <c r="H4" s="14">
        <f t="shared" ref="H4:H28" si="0">($C$17*$C$11+(F4*$C$13)^2*$D$17*$C$11*7670.946429)/1000000</f>
        <v>740.86131506576362</v>
      </c>
      <c r="I4" s="14">
        <f t="shared" ref="I4:I28" si="1">($C$18*$C$11+(F4*$C$13)^2*$D$18*$C$11*7670.946429)/1000000</f>
        <v>879.42713668263946</v>
      </c>
      <c r="J4" s="14">
        <f t="shared" ref="J4:J28" si="2">($C$19*$C$11+(F4*$C$13)^2*$D$19*$C$11*7670.946429)/1000000</f>
        <v>1033.4660311365685</v>
      </c>
      <c r="K4" s="14">
        <f t="shared" ref="K4:K28" si="3">($C$20*$C$11+(F4*$C$13)^2*$D$20*$C$11*7670.946429)/1000000</f>
        <v>1233.4407641684725</v>
      </c>
      <c r="L4" s="14">
        <f t="shared" ref="L4:L28" si="4">($C$21*$C$11+(F4*$C$13)^2*$D$21*$C$11*7670.946429)/1000000</f>
        <v>1430.9920336189032</v>
      </c>
    </row>
    <row r="5" spans="2:12" x14ac:dyDescent="0.25">
      <c r="D5" s="52"/>
      <c r="E5" s="44"/>
      <c r="F5" s="22">
        <f>((2*1000)/(SQRT(3)*$C$9))/$C$13</f>
        <v>0.18181818181818182</v>
      </c>
      <c r="G5" s="76">
        <f>2/$C$10</f>
        <v>0.2</v>
      </c>
      <c r="H5" s="14">
        <f t="shared" si="0"/>
        <v>757.30526026305415</v>
      </c>
      <c r="I5" s="14">
        <f t="shared" si="1"/>
        <v>892.46854673055816</v>
      </c>
      <c r="J5" s="14">
        <f t="shared" si="2"/>
        <v>1043.8041245462741</v>
      </c>
      <c r="K5" s="14">
        <f t="shared" si="3"/>
        <v>1241.7230566738904</v>
      </c>
      <c r="L5" s="14">
        <f t="shared" si="4"/>
        <v>1437.5681344756129</v>
      </c>
    </row>
    <row r="6" spans="2:12" s="23" customFormat="1" x14ac:dyDescent="0.25">
      <c r="D6" s="56"/>
      <c r="E6" s="44"/>
      <c r="F6" s="22">
        <f>((3*1000)/(SQRT(3)*$C$9))/$C$13</f>
        <v>0.27272727272727276</v>
      </c>
      <c r="G6" s="76">
        <f>3/$C$10</f>
        <v>0.3</v>
      </c>
      <c r="H6" s="14">
        <f t="shared" si="0"/>
        <v>784.71183559187182</v>
      </c>
      <c r="I6" s="14">
        <f t="shared" si="1"/>
        <v>914.20423014375592</v>
      </c>
      <c r="J6" s="14">
        <f t="shared" si="2"/>
        <v>1061.0342802291166</v>
      </c>
      <c r="K6" s="14">
        <f t="shared" si="3"/>
        <v>1255.5268775162535</v>
      </c>
      <c r="L6" s="14">
        <f t="shared" si="4"/>
        <v>1448.5283025701287</v>
      </c>
    </row>
    <row r="7" spans="2:12" s="23" customFormat="1" ht="15.75" thickBot="1" x14ac:dyDescent="0.3">
      <c r="D7" s="57"/>
      <c r="E7" s="44"/>
      <c r="F7" s="22">
        <f>((4*1000)/(SQRT(3)*$C$9))/$C$13</f>
        <v>0.36363636363636365</v>
      </c>
      <c r="G7" s="76">
        <f>4/$C$10</f>
        <v>0.4</v>
      </c>
      <c r="H7" s="14">
        <f t="shared" si="0"/>
        <v>823.08104105221662</v>
      </c>
      <c r="I7" s="14">
        <f t="shared" si="1"/>
        <v>944.63418692223263</v>
      </c>
      <c r="J7" s="14">
        <f t="shared" si="2"/>
        <v>1085.1564981850963</v>
      </c>
      <c r="K7" s="14">
        <f t="shared" si="3"/>
        <v>1274.8522266955617</v>
      </c>
      <c r="L7" s="14">
        <f t="shared" si="4"/>
        <v>1463.8725379024511</v>
      </c>
    </row>
    <row r="8" spans="2:12" ht="15.75" thickBot="1" x14ac:dyDescent="0.3">
      <c r="B8" s="85" t="s">
        <v>73</v>
      </c>
      <c r="C8" s="86"/>
      <c r="D8" s="44"/>
      <c r="E8" s="44"/>
      <c r="F8" s="22">
        <f>((5*1000)/(SQRT(3)*$C$9))/$C$13</f>
        <v>0.45454545454545453</v>
      </c>
      <c r="G8" s="76">
        <f>5/$C$10</f>
        <v>0.5</v>
      </c>
      <c r="H8" s="14">
        <f t="shared" si="0"/>
        <v>872.41287664408856</v>
      </c>
      <c r="I8" s="14">
        <f t="shared" si="1"/>
        <v>983.7584170659884</v>
      </c>
      <c r="J8" s="14">
        <f t="shared" si="2"/>
        <v>1116.1707784142129</v>
      </c>
      <c r="K8" s="14">
        <f t="shared" si="3"/>
        <v>1299.6991042118152</v>
      </c>
      <c r="L8" s="14">
        <f t="shared" si="4"/>
        <v>1483.6008404725796</v>
      </c>
    </row>
    <row r="9" spans="2:12" x14ac:dyDescent="0.25">
      <c r="B9" s="45" t="s">
        <v>70</v>
      </c>
      <c r="C9" s="45">
        <v>44</v>
      </c>
      <c r="E9" s="44"/>
      <c r="F9" s="54">
        <f>((6*1000)/(SQRT(3)*$C$9))/$C$13</f>
        <v>0.54545454545454553</v>
      </c>
      <c r="G9" s="76">
        <f>6/$C$10</f>
        <v>0.6</v>
      </c>
      <c r="H9" s="14">
        <f t="shared" si="0"/>
        <v>932.70734236748763</v>
      </c>
      <c r="I9" s="14">
        <f t="shared" si="1"/>
        <v>1031.5769205750235</v>
      </c>
      <c r="J9" s="14">
        <f t="shared" si="2"/>
        <v>1154.0771209164668</v>
      </c>
      <c r="K9" s="14">
        <f t="shared" si="3"/>
        <v>1330.0675100650139</v>
      </c>
      <c r="L9" s="14">
        <f t="shared" si="4"/>
        <v>1507.7132102805149</v>
      </c>
    </row>
    <row r="10" spans="2:12" x14ac:dyDescent="0.25">
      <c r="B10" s="46" t="s">
        <v>71</v>
      </c>
      <c r="C10" s="46">
        <v>10</v>
      </c>
      <c r="E10" s="44"/>
      <c r="F10" s="54">
        <f>((7*1000)/(SQRT(3)*$C$9))/$C$13</f>
        <v>0.63636363636363635</v>
      </c>
      <c r="G10" s="76">
        <f>7/$C$10</f>
        <v>0.7</v>
      </c>
      <c r="H10" s="14">
        <f t="shared" si="0"/>
        <v>1003.9644382224135</v>
      </c>
      <c r="I10" s="14">
        <f t="shared" si="1"/>
        <v>1088.0896974493376</v>
      </c>
      <c r="J10" s="14">
        <f t="shared" si="2"/>
        <v>1198.8755256918571</v>
      </c>
      <c r="K10" s="14">
        <f t="shared" si="3"/>
        <v>1365.957444255158</v>
      </c>
      <c r="L10" s="14">
        <f t="shared" si="4"/>
        <v>1536.2096473262566</v>
      </c>
    </row>
    <row r="11" spans="2:12" x14ac:dyDescent="0.25">
      <c r="B11" s="46" t="s">
        <v>72</v>
      </c>
      <c r="C11" s="46">
        <v>10</v>
      </c>
      <c r="E11" s="44"/>
      <c r="F11" s="54">
        <f>((8*1000)/(SQRT(3)*$C$9))/$C$13</f>
        <v>0.72727272727272729</v>
      </c>
      <c r="G11" s="76">
        <f>8/$C$10</f>
        <v>0.8</v>
      </c>
      <c r="H11" s="14">
        <f t="shared" si="0"/>
        <v>1086.1841642088666</v>
      </c>
      <c r="I11" s="14">
        <f t="shared" si="1"/>
        <v>1153.2967476889305</v>
      </c>
      <c r="J11" s="14">
        <f t="shared" si="2"/>
        <v>1250.5659927403851</v>
      </c>
      <c r="K11" s="14">
        <f t="shared" si="3"/>
        <v>1407.368906782247</v>
      </c>
      <c r="L11" s="14">
        <f t="shared" si="4"/>
        <v>1569.0901516098045</v>
      </c>
    </row>
    <row r="12" spans="2:12" x14ac:dyDescent="0.25">
      <c r="B12" s="46" t="s">
        <v>77</v>
      </c>
      <c r="C12" s="47">
        <v>0.1</v>
      </c>
      <c r="E12" s="44"/>
      <c r="F12" s="54">
        <f>((9*1000)/(SQRT(3)*$C$9))/$C$13</f>
        <v>0.81818181818181812</v>
      </c>
      <c r="G12" s="76">
        <f>9/$C$10</f>
        <v>0.9</v>
      </c>
      <c r="H12" s="14">
        <f t="shared" si="0"/>
        <v>1179.3665203268467</v>
      </c>
      <c r="I12" s="14">
        <f t="shared" si="1"/>
        <v>1227.1980712938027</v>
      </c>
      <c r="J12" s="14">
        <f t="shared" si="2"/>
        <v>1309.1485220620496</v>
      </c>
      <c r="K12" s="14">
        <f t="shared" si="3"/>
        <v>1454.3018976462813</v>
      </c>
      <c r="L12" s="14">
        <f t="shared" si="4"/>
        <v>1606.3547231311586</v>
      </c>
    </row>
    <row r="13" spans="2:12" x14ac:dyDescent="0.25">
      <c r="B13" s="46" t="s">
        <v>78</v>
      </c>
      <c r="C13" s="48">
        <f>(C10*1000)/(SQRT(3)*C9)*(1+C12)</f>
        <v>144.33756729740645</v>
      </c>
      <c r="E13" s="44"/>
      <c r="F13" s="54">
        <f>((10*1000)/(SQRT(3)*$C$9))/$C$13</f>
        <v>0.90909090909090906</v>
      </c>
      <c r="G13" s="76">
        <f>10/$C$10</f>
        <v>1</v>
      </c>
      <c r="H13" s="14">
        <f t="shared" si="0"/>
        <v>1283.5115065763541</v>
      </c>
      <c r="I13" s="14">
        <f t="shared" si="1"/>
        <v>1309.793668263954</v>
      </c>
      <c r="J13" s="14">
        <f t="shared" si="2"/>
        <v>1374.6231136568515</v>
      </c>
      <c r="K13" s="14">
        <f t="shared" si="3"/>
        <v>1506.7564168472609</v>
      </c>
      <c r="L13" s="14">
        <f t="shared" si="4"/>
        <v>1648.0033618903194</v>
      </c>
    </row>
    <row r="14" spans="2:12" ht="15.75" thickBot="1" x14ac:dyDescent="0.3">
      <c r="E14" s="44"/>
      <c r="F14" s="54">
        <f>((11*1000)/(SQRT(3)*$C$9))/$C$13</f>
        <v>1</v>
      </c>
      <c r="G14" s="76">
        <f>11/$C$10</f>
        <v>1.1000000000000001</v>
      </c>
      <c r="H14" s="14">
        <f t="shared" si="0"/>
        <v>1398.6191229573885</v>
      </c>
      <c r="I14" s="14">
        <f t="shared" si="1"/>
        <v>1401.0835385993842</v>
      </c>
      <c r="J14" s="14">
        <f t="shared" si="2"/>
        <v>1446.9897675247903</v>
      </c>
      <c r="K14" s="14">
        <f t="shared" si="3"/>
        <v>1564.7324643851857</v>
      </c>
      <c r="L14" s="14">
        <f t="shared" si="4"/>
        <v>1694.0360678872862</v>
      </c>
    </row>
    <row r="15" spans="2:12" ht="15.75" thickBot="1" x14ac:dyDescent="0.3">
      <c r="B15" s="85" t="s">
        <v>91</v>
      </c>
      <c r="C15" s="87"/>
      <c r="D15" s="86"/>
      <c r="E15" s="44"/>
      <c r="F15" s="54">
        <f>((12*1000)/(SQRT(3)*$C$9))/$C$13</f>
        <v>1.0909090909090911</v>
      </c>
      <c r="G15" s="76">
        <f>12/$C$10</f>
        <v>1.2</v>
      </c>
      <c r="H15" s="14">
        <f t="shared" si="0"/>
        <v>1524.6893694699504</v>
      </c>
      <c r="I15" s="14">
        <f t="shared" si="1"/>
        <v>1501.0676823000938</v>
      </c>
      <c r="J15" s="14">
        <f t="shared" si="2"/>
        <v>1526.2484836658664</v>
      </c>
      <c r="K15" s="14">
        <f t="shared" si="3"/>
        <v>1628.2300402600561</v>
      </c>
      <c r="L15" s="14">
        <f t="shared" si="4"/>
        <v>1744.4528411220599</v>
      </c>
    </row>
    <row r="16" spans="2:12" ht="42" customHeight="1" thickBot="1" x14ac:dyDescent="0.3">
      <c r="B16" s="68" t="s">
        <v>81</v>
      </c>
      <c r="C16" s="61" t="s">
        <v>47</v>
      </c>
      <c r="D16" s="62" t="s">
        <v>82</v>
      </c>
      <c r="F16" s="54">
        <f>((13*1000)/(SQRT(3)*$C$9))/$C$13</f>
        <v>1.1818181818181817</v>
      </c>
      <c r="G16" s="76">
        <f>13/$C$10</f>
        <v>1.3</v>
      </c>
      <c r="H16" s="14">
        <f t="shared" si="0"/>
        <v>1661.7222461140384</v>
      </c>
      <c r="I16" s="14">
        <f t="shared" si="1"/>
        <v>1609.746099366082</v>
      </c>
      <c r="J16" s="14">
        <f t="shared" si="2"/>
        <v>1612.3992620800789</v>
      </c>
      <c r="K16" s="14">
        <f t="shared" si="3"/>
        <v>1697.249144471871</v>
      </c>
      <c r="L16" s="14">
        <f t="shared" si="4"/>
        <v>1799.2536815946394</v>
      </c>
    </row>
    <row r="17" spans="2:12" x14ac:dyDescent="0.25">
      <c r="B17" s="2" t="s">
        <v>14</v>
      </c>
      <c r="C17" s="67">
        <v>73538000</v>
      </c>
      <c r="D17" s="2">
        <v>0.41501369090000007</v>
      </c>
      <c r="F17" s="54">
        <f>((14*1000)/(SQRT(3)*$C$9))/$C$13</f>
        <v>1.2727272727272727</v>
      </c>
      <c r="G17" s="76">
        <f>14/$C$10</f>
        <v>1.4</v>
      </c>
      <c r="H17" s="14">
        <f t="shared" si="0"/>
        <v>1809.7177528896541</v>
      </c>
      <c r="I17" s="14">
        <f t="shared" si="1"/>
        <v>1727.1187897973496</v>
      </c>
      <c r="J17" s="14">
        <f t="shared" si="2"/>
        <v>1705.4421027674289</v>
      </c>
      <c r="K17" s="14">
        <f t="shared" si="3"/>
        <v>1771.7897770206314</v>
      </c>
      <c r="L17" s="14">
        <f t="shared" si="4"/>
        <v>1858.4385893050255</v>
      </c>
    </row>
    <row r="18" spans="2:12" x14ac:dyDescent="0.25">
      <c r="B18" s="18" t="s">
        <v>15</v>
      </c>
      <c r="C18" s="35">
        <v>87508000</v>
      </c>
      <c r="D18" s="18">
        <v>0.32914021869999999</v>
      </c>
      <c r="F18" s="54">
        <f>((15*1000)/(SQRT(3)*$C$9))/$C$13</f>
        <v>1.3636363636363635</v>
      </c>
      <c r="G18" s="76">
        <f>15/$C$10</f>
        <v>1.5</v>
      </c>
      <c r="H18" s="14">
        <f t="shared" si="0"/>
        <v>1968.675889796797</v>
      </c>
      <c r="I18" s="14">
        <f t="shared" si="1"/>
        <v>1853.1857535938959</v>
      </c>
      <c r="J18" s="14">
        <f t="shared" si="2"/>
        <v>1805.3770057279157</v>
      </c>
      <c r="K18" s="14">
        <f t="shared" si="3"/>
        <v>1851.8519379063371</v>
      </c>
      <c r="L18" s="14">
        <f t="shared" si="4"/>
        <v>1922.0075642532181</v>
      </c>
    </row>
    <row r="19" spans="2:12" x14ac:dyDescent="0.25">
      <c r="B19" s="18" t="s">
        <v>16</v>
      </c>
      <c r="C19" s="35">
        <v>103002000</v>
      </c>
      <c r="D19" s="18">
        <v>0.2609136829</v>
      </c>
      <c r="F19" s="54">
        <f>((16*1000)/(SQRT(3)*$C$9))/$C$13</f>
        <v>1.4545454545454546</v>
      </c>
      <c r="G19" s="76">
        <f>16/$C$10</f>
        <v>1.6</v>
      </c>
      <c r="H19" s="14">
        <f t="shared" si="0"/>
        <v>2138.596656835467</v>
      </c>
      <c r="I19" s="14">
        <f t="shared" si="1"/>
        <v>1987.9469907557218</v>
      </c>
      <c r="J19" s="14">
        <f t="shared" si="2"/>
        <v>1912.2039709615399</v>
      </c>
      <c r="K19" s="14">
        <f t="shared" si="3"/>
        <v>1937.4356271289878</v>
      </c>
      <c r="L19" s="14">
        <f t="shared" si="4"/>
        <v>1989.9606064392171</v>
      </c>
    </row>
    <row r="20" spans="2:12" x14ac:dyDescent="0.25">
      <c r="B20" s="18">
        <v>266</v>
      </c>
      <c r="C20" s="35">
        <v>123068000</v>
      </c>
      <c r="D20" s="18">
        <v>0.2090292044</v>
      </c>
      <c r="F20" s="54">
        <f>((17*1000)/(SQRT(3)*$C$9))/$C$13</f>
        <v>1.5454545454545454</v>
      </c>
      <c r="G20" s="76">
        <f>17/$C$10</f>
        <v>1.7</v>
      </c>
      <c r="H20" s="14">
        <f t="shared" si="0"/>
        <v>2319.480054005664</v>
      </c>
      <c r="I20" s="14">
        <f t="shared" si="1"/>
        <v>2131.4025012828265</v>
      </c>
      <c r="J20" s="14">
        <f t="shared" si="2"/>
        <v>2025.9229984683009</v>
      </c>
      <c r="K20" s="14">
        <f t="shared" si="3"/>
        <v>2028.5408446885838</v>
      </c>
      <c r="L20" s="14">
        <f t="shared" si="4"/>
        <v>2062.2977158630229</v>
      </c>
    </row>
    <row r="21" spans="2:12" x14ac:dyDescent="0.25">
      <c r="B21" s="2">
        <v>336</v>
      </c>
      <c r="C21" s="35">
        <v>142880000</v>
      </c>
      <c r="D21" s="18">
        <v>0.16596819410000002</v>
      </c>
      <c r="F21" s="54">
        <f>((18*1000)/(SQRT(3)*$C$9))/$C$13</f>
        <v>1.6363636363636362</v>
      </c>
      <c r="G21" s="76">
        <f>18/$C$10</f>
        <v>1.8</v>
      </c>
      <c r="H21" s="14">
        <f t="shared" si="0"/>
        <v>2511.3260813073875</v>
      </c>
      <c r="I21" s="14">
        <f t="shared" si="1"/>
        <v>2283.5522851752103</v>
      </c>
      <c r="J21" s="14">
        <f t="shared" si="2"/>
        <v>2146.5340882481987</v>
      </c>
      <c r="K21" s="14">
        <f t="shared" si="3"/>
        <v>2125.1675905851248</v>
      </c>
      <c r="L21" s="14">
        <f t="shared" si="4"/>
        <v>2139.0188925246343</v>
      </c>
    </row>
    <row r="22" spans="2:12" x14ac:dyDescent="0.25">
      <c r="B22" s="15"/>
      <c r="C22" s="65"/>
      <c r="D22" s="19"/>
      <c r="F22" s="54">
        <f>((19*1000)/(SQRT(3)*$C$9))/$C$13</f>
        <v>1.7272727272727271</v>
      </c>
      <c r="G22" s="76">
        <f>19/$C$10</f>
        <v>1.9</v>
      </c>
      <c r="H22" s="14">
        <f t="shared" si="0"/>
        <v>2714.1347387406386</v>
      </c>
      <c r="I22" s="14">
        <f t="shared" si="1"/>
        <v>2444.3963424328731</v>
      </c>
      <c r="J22" s="14">
        <f t="shared" si="2"/>
        <v>2274.0372403012343</v>
      </c>
      <c r="K22" s="14">
        <f t="shared" si="3"/>
        <v>2227.3158648186118</v>
      </c>
      <c r="L22" s="14">
        <f t="shared" si="4"/>
        <v>2220.1241364240523</v>
      </c>
    </row>
    <row r="23" spans="2:12" x14ac:dyDescent="0.25">
      <c r="B23" s="10"/>
      <c r="C23" s="10"/>
      <c r="D23" s="10"/>
      <c r="F23" s="54">
        <f>((20*1000)/(SQRT(3)*$C$9))/$C$13</f>
        <v>1.8181818181818181</v>
      </c>
      <c r="G23" s="76">
        <f>20/$C$10</f>
        <v>2</v>
      </c>
      <c r="H23" s="14">
        <f t="shared" si="0"/>
        <v>2927.9060263054166</v>
      </c>
      <c r="I23" s="14">
        <f t="shared" si="1"/>
        <v>2613.9346730558159</v>
      </c>
      <c r="J23" s="14">
        <f t="shared" si="2"/>
        <v>2408.4324546274061</v>
      </c>
      <c r="K23" s="14">
        <f t="shared" si="3"/>
        <v>2334.985667389044</v>
      </c>
      <c r="L23" s="14">
        <f t="shared" si="4"/>
        <v>2305.6134475612771</v>
      </c>
    </row>
    <row r="24" spans="2:12" x14ac:dyDescent="0.25">
      <c r="F24" s="54">
        <f>((21*1000)/(SQRT(3)*$C$9))/$C$13</f>
        <v>1.9090909090909089</v>
      </c>
      <c r="G24" s="76">
        <f>21/$C$10</f>
        <v>2.1</v>
      </c>
      <c r="H24" s="14">
        <f t="shared" si="0"/>
        <v>3152.6399440017217</v>
      </c>
      <c r="I24" s="14">
        <f t="shared" si="1"/>
        <v>2792.1672770440364</v>
      </c>
      <c r="J24" s="14">
        <f t="shared" si="2"/>
        <v>2549.7197312267149</v>
      </c>
      <c r="K24" s="14">
        <f t="shared" si="3"/>
        <v>2448.1769982964202</v>
      </c>
      <c r="L24" s="14">
        <f t="shared" si="4"/>
        <v>2395.4868259363079</v>
      </c>
    </row>
    <row r="25" spans="2:12" x14ac:dyDescent="0.25">
      <c r="F25" s="54">
        <f>((22*1000)/(SQRT(3)*$C$9))/$C$13</f>
        <v>2</v>
      </c>
      <c r="G25" s="76">
        <f>22/$C$10</f>
        <v>2.2000000000000002</v>
      </c>
      <c r="H25" s="14">
        <f t="shared" si="0"/>
        <v>3388.3364918295547</v>
      </c>
      <c r="I25" s="14">
        <f t="shared" si="1"/>
        <v>2979.0941543975364</v>
      </c>
      <c r="J25" s="14">
        <f t="shared" si="2"/>
        <v>2697.8990700991612</v>
      </c>
      <c r="K25" s="14">
        <f t="shared" si="3"/>
        <v>2566.8898575407429</v>
      </c>
      <c r="L25" s="14">
        <f t="shared" si="4"/>
        <v>2489.7442715491452</v>
      </c>
    </row>
    <row r="26" spans="2:12" x14ac:dyDescent="0.25">
      <c r="F26" s="54">
        <f>((23*1000)/(SQRT(3)*$C$9))/$C$13</f>
        <v>2.0909090909090908</v>
      </c>
      <c r="G26" s="76">
        <f>23/$C$10</f>
        <v>2.2999999999999998</v>
      </c>
      <c r="H26" s="14">
        <f t="shared" si="0"/>
        <v>3634.9956697889143</v>
      </c>
      <c r="I26" s="14">
        <f t="shared" si="1"/>
        <v>3174.7153051163164</v>
      </c>
      <c r="J26" s="14">
        <f t="shared" si="2"/>
        <v>2852.9704712447442</v>
      </c>
      <c r="K26" s="14">
        <f t="shared" si="3"/>
        <v>2691.1242451220101</v>
      </c>
      <c r="L26" s="14">
        <f t="shared" si="4"/>
        <v>2588.3857843997889</v>
      </c>
    </row>
    <row r="27" spans="2:12" x14ac:dyDescent="0.25">
      <c r="F27" s="54">
        <f>((24*1000)/(SQRT(3)*$C$9))/$C$13</f>
        <v>2.1818181818181821</v>
      </c>
      <c r="G27" s="76">
        <f>24/$C$10</f>
        <v>2.4</v>
      </c>
      <c r="H27" s="14">
        <f t="shared" si="0"/>
        <v>3892.6174778798018</v>
      </c>
      <c r="I27" s="14">
        <f t="shared" si="1"/>
        <v>3379.0307292003754</v>
      </c>
      <c r="J27" s="14">
        <f t="shared" si="2"/>
        <v>3014.9339346634656</v>
      </c>
      <c r="K27" s="14">
        <f t="shared" si="3"/>
        <v>2820.8801610402238</v>
      </c>
      <c r="L27" s="14">
        <f t="shared" si="4"/>
        <v>2691.4113644882391</v>
      </c>
    </row>
    <row r="28" spans="2:12" x14ac:dyDescent="0.25">
      <c r="F28" s="54">
        <f>((25*1000)/(SQRT(3)*$C$9))/$C$13</f>
        <v>2.2727272727272729</v>
      </c>
      <c r="G28" s="76">
        <f>25/$C$10</f>
        <v>2.5</v>
      </c>
      <c r="H28" s="14">
        <f t="shared" si="0"/>
        <v>4161.2019161022145</v>
      </c>
      <c r="I28" s="14">
        <f t="shared" si="1"/>
        <v>3592.0404266497117</v>
      </c>
      <c r="J28" s="14">
        <f t="shared" si="2"/>
        <v>3183.7894603553218</v>
      </c>
      <c r="K28" s="14">
        <f t="shared" si="3"/>
        <v>2956.1576052953806</v>
      </c>
      <c r="L28" s="14">
        <f t="shared" si="4"/>
        <v>2798.8210118144953</v>
      </c>
    </row>
    <row r="29" spans="2:12" x14ac:dyDescent="0.25">
      <c r="I29" s="15"/>
      <c r="J29" s="65"/>
      <c r="K29" s="19"/>
    </row>
    <row r="30" spans="2:12" x14ac:dyDescent="0.25">
      <c r="I30" s="15"/>
      <c r="J30" s="31"/>
      <c r="K30" s="19"/>
    </row>
    <row r="31" spans="2:12" x14ac:dyDescent="0.25">
      <c r="I31" s="42"/>
      <c r="J31" s="66"/>
      <c r="K31" s="17"/>
    </row>
    <row r="32" spans="2:12" x14ac:dyDescent="0.25">
      <c r="I32" s="10"/>
      <c r="J32" s="10"/>
      <c r="K32" s="10"/>
    </row>
    <row r="37" spans="2:26" x14ac:dyDescent="0.25">
      <c r="B37" s="23"/>
      <c r="C37" s="15"/>
      <c r="D37" s="65"/>
      <c r="E37" s="21"/>
      <c r="F37" s="10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2:26" x14ac:dyDescent="0.25">
      <c r="B38" s="23"/>
      <c r="C38" s="15"/>
      <c r="D38" s="65"/>
      <c r="E38" s="21"/>
      <c r="F38" s="10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2:26" x14ac:dyDescent="0.25">
      <c r="B39" s="23"/>
      <c r="C39" s="15"/>
      <c r="D39" s="65"/>
      <c r="E39" s="21"/>
      <c r="F39" s="10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2:26" x14ac:dyDescent="0.25">
      <c r="B40" s="23"/>
      <c r="C40" s="10"/>
      <c r="D40" s="10"/>
      <c r="E40" s="10"/>
      <c r="F40" s="10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2:26" x14ac:dyDescent="0.25">
      <c r="B41" s="23"/>
      <c r="C41" s="21"/>
      <c r="D41" s="65"/>
      <c r="E41" s="21"/>
      <c r="F41" s="10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2:26" x14ac:dyDescent="0.25">
      <c r="B42" s="23"/>
      <c r="C42" s="15"/>
      <c r="D42" s="65"/>
      <c r="E42" s="21"/>
      <c r="F42" s="1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2:26" x14ac:dyDescent="0.25">
      <c r="B43" s="23"/>
      <c r="C43" s="15"/>
      <c r="D43" s="65"/>
      <c r="E43" s="21"/>
      <c r="F43" s="10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2:26" x14ac:dyDescent="0.25">
      <c r="B44" s="23"/>
      <c r="C44" s="15"/>
      <c r="D44" s="65"/>
      <c r="E44" s="21"/>
      <c r="F44" s="10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2:26" x14ac:dyDescent="0.25">
      <c r="B45" s="23"/>
      <c r="C45" s="15"/>
      <c r="D45" s="65"/>
      <c r="E45" s="21"/>
      <c r="F45" s="10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2:26" x14ac:dyDescent="0.25">
      <c r="B46" s="23"/>
      <c r="C46" s="15"/>
      <c r="D46" s="65"/>
      <c r="E46" s="21"/>
      <c r="F46" s="10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2:26" x14ac:dyDescent="0.25">
      <c r="B47" s="23"/>
      <c r="C47" s="15"/>
      <c r="D47" s="65"/>
      <c r="E47" s="19"/>
      <c r="F47" s="10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2:26" x14ac:dyDescent="0.25">
      <c r="B48" s="23"/>
      <c r="C48" s="10"/>
      <c r="D48" s="10"/>
      <c r="E48" s="10"/>
      <c r="F48" s="10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</sheetData>
  <mergeCells count="5">
    <mergeCell ref="H2:L2"/>
    <mergeCell ref="F2:F3"/>
    <mergeCell ref="G2:G3"/>
    <mergeCell ref="B8:C8"/>
    <mergeCell ref="B15:D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Costos</vt:lpstr>
      <vt:lpstr>Valores admisibles de entrada</vt:lpstr>
      <vt:lpstr>Conductor económico 120-240 V</vt:lpstr>
      <vt:lpstr>Conductor económico 7.62 kV</vt:lpstr>
      <vt:lpstr>Conductor económico 13.2 kV</vt:lpstr>
      <vt:lpstr>Conductor económico 44 kV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Rivera Pinzon</dc:creator>
  <cp:lastModifiedBy>Jose Daniel Acosta Moreno</cp:lastModifiedBy>
  <dcterms:created xsi:type="dcterms:W3CDTF">2018-03-08T13:46:05Z</dcterms:created>
  <dcterms:modified xsi:type="dcterms:W3CDTF">2019-08-28T20:21:16Z</dcterms:modified>
</cp:coreProperties>
</file>