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Grupo EPM\CW16553 CONCOL\1-RETIE\1. CALCULO CONDUCTOR ECONOMICO\DEFINITIVO\"/>
    </mc:Choice>
  </mc:AlternateContent>
  <xr:revisionPtr revIDLastSave="4" documentId="8_{9BF03920-0EBB-484D-A8E9-4ACE720E14F1}" xr6:coauthVersionLast="41" xr6:coauthVersionMax="41" xr10:uidLastSave="{DCD0EC00-CD60-4541-B9A4-4E835902F0F6}"/>
  <bookViews>
    <workbookView xWindow="-120" yWindow="-120" windowWidth="24240" windowHeight="13140" xr2:uid="{00000000-000D-0000-FFFF-FFFF00000000}"/>
  </bookViews>
  <sheets>
    <sheet name="K REG" sheetId="99" r:id="rId1"/>
    <sheet name="tabla" sheetId="73" r:id="rId2"/>
    <sheet name="BALANCE" sheetId="96" state="hidden" r:id="rId3"/>
    <sheet name=" REGULACION CTO D" sheetId="97" state="hidden" r:id="rId4"/>
    <sheet name=" REGULACION CTO E" sheetId="100" state="hidden" r:id="rId5"/>
    <sheet name=" REGULACION CTO F" sheetId="101" state="hidden" r:id="rId6"/>
    <sheet name=" REGULACION CTO H" sheetId="102" r:id="rId7"/>
  </sheets>
  <definedNames>
    <definedName name="_xlnm._FilterDatabase" localSheetId="0" hidden="1">'K REG'!$I$1:$Q$85</definedName>
    <definedName name="_xlnm.Print_Area" localSheetId="3">' REGULACION CTO D'!$A$1:$BM$79</definedName>
    <definedName name="_xlnm.Print_Area" localSheetId="4">' REGULACION CTO E'!$B$2:$BM$79</definedName>
    <definedName name="_xlnm.Print_Area" localSheetId="5">' REGULACION CTO F'!$B$2:$BM$79</definedName>
    <definedName name="_xlnm.Print_Area" localSheetId="6">' REGULACION CTO H'!$B$2:$BN$79</definedName>
    <definedName name="_xlnm.Print_Area" localSheetId="2">BALANCE!$A$1:$S$115</definedName>
    <definedName name="tabla" localSheetId="3">tabla!$H$6:$I$44</definedName>
    <definedName name="tabla" localSheetId="4">tabla!$H$6:$I$44</definedName>
    <definedName name="tabla" localSheetId="5">tabla!$H$6:$I$44</definedName>
    <definedName name="tabla" localSheetId="6">tabla!$H$6:$I$44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99" l="1"/>
  <c r="O4" i="99"/>
  <c r="Q4" i="99"/>
  <c r="P4" i="99"/>
  <c r="BC23" i="102" l="1"/>
  <c r="BD23" i="102" s="1"/>
  <c r="BM75" i="102"/>
  <c r="BM76" i="102" s="1"/>
  <c r="BL75" i="102"/>
  <c r="BL76" i="102" s="1"/>
  <c r="BK75" i="102"/>
  <c r="BK76" i="102" s="1"/>
  <c r="BJ75" i="102"/>
  <c r="BJ76" i="102" s="1"/>
  <c r="BI75" i="102"/>
  <c r="BI76" i="102" s="1"/>
  <c r="BH75" i="102"/>
  <c r="BH76" i="102" s="1"/>
  <c r="BG75" i="102"/>
  <c r="BG76" i="102" s="1"/>
  <c r="BF75" i="102"/>
  <c r="BF76" i="102" s="1"/>
  <c r="BE75" i="102"/>
  <c r="BE76" i="102" s="1"/>
  <c r="BC73" i="102"/>
  <c r="BD73" i="102" s="1"/>
  <c r="BB73" i="102"/>
  <c r="BA73" i="102"/>
  <c r="BC71" i="102"/>
  <c r="BD71" i="102" s="1"/>
  <c r="BB71" i="102"/>
  <c r="BA71" i="102"/>
  <c r="BC69" i="102"/>
  <c r="BD69" i="102" s="1"/>
  <c r="BB69" i="102"/>
  <c r="BA69" i="102"/>
  <c r="BC67" i="102"/>
  <c r="BD67" i="102" s="1"/>
  <c r="BB67" i="102"/>
  <c r="BA67" i="102"/>
  <c r="BC65" i="102"/>
  <c r="BD65" i="102" s="1"/>
  <c r="BB65" i="102"/>
  <c r="BA65" i="102"/>
  <c r="BC63" i="102"/>
  <c r="BD63" i="102" s="1"/>
  <c r="BB63" i="102"/>
  <c r="BA63" i="102"/>
  <c r="BC61" i="102"/>
  <c r="BD61" i="102" s="1"/>
  <c r="BB61" i="102"/>
  <c r="BA61" i="102"/>
  <c r="BC59" i="102"/>
  <c r="BD59" i="102" s="1"/>
  <c r="BB59" i="102"/>
  <c r="BA59" i="102"/>
  <c r="BC57" i="102"/>
  <c r="BD57" i="102" s="1"/>
  <c r="BB57" i="102"/>
  <c r="BA57" i="102"/>
  <c r="BC55" i="102"/>
  <c r="BD55" i="102" s="1"/>
  <c r="BB55" i="102"/>
  <c r="BA55" i="102"/>
  <c r="BC53" i="102"/>
  <c r="BD53" i="102" s="1"/>
  <c r="BB53" i="102"/>
  <c r="BA53" i="102"/>
  <c r="BC51" i="102"/>
  <c r="BD51" i="102" s="1"/>
  <c r="BB51" i="102"/>
  <c r="BA51" i="102"/>
  <c r="BC49" i="102"/>
  <c r="BD49" i="102" s="1"/>
  <c r="BB49" i="102"/>
  <c r="BA49" i="102"/>
  <c r="BC47" i="102"/>
  <c r="BD47" i="102" s="1"/>
  <c r="BB47" i="102"/>
  <c r="BA47" i="102"/>
  <c r="BC45" i="102"/>
  <c r="BD45" i="102" s="1"/>
  <c r="BB45" i="102"/>
  <c r="BA45" i="102"/>
  <c r="BC43" i="102"/>
  <c r="BD43" i="102" s="1"/>
  <c r="BB43" i="102"/>
  <c r="BA43" i="102"/>
  <c r="BC41" i="102"/>
  <c r="BD41" i="102" s="1"/>
  <c r="BB41" i="102"/>
  <c r="BA41" i="102"/>
  <c r="BC39" i="102"/>
  <c r="BD39" i="102" s="1"/>
  <c r="BB39" i="102"/>
  <c r="BA39" i="102"/>
  <c r="BC37" i="102"/>
  <c r="BD37" i="102" s="1"/>
  <c r="BB37" i="102"/>
  <c r="BA37" i="102"/>
  <c r="BC35" i="102"/>
  <c r="BD35" i="102" s="1"/>
  <c r="BB35" i="102"/>
  <c r="BA35" i="102"/>
  <c r="BC33" i="102"/>
  <c r="BD33" i="102" s="1"/>
  <c r="BB33" i="102"/>
  <c r="BA33" i="102"/>
  <c r="BC31" i="102"/>
  <c r="BD31" i="102" s="1"/>
  <c r="BB31" i="102"/>
  <c r="BA31" i="102"/>
  <c r="BC29" i="102"/>
  <c r="BD29" i="102" s="1"/>
  <c r="BB29" i="102"/>
  <c r="BA29" i="102"/>
  <c r="BC27" i="102"/>
  <c r="BD27" i="102" s="1"/>
  <c r="BB27" i="102"/>
  <c r="BA27" i="102"/>
  <c r="BC25" i="102"/>
  <c r="BD25" i="102" s="1"/>
  <c r="BB25" i="102"/>
  <c r="BA25" i="102"/>
  <c r="BB23" i="102"/>
  <c r="BC21" i="102"/>
  <c r="BD21" i="102" s="1"/>
  <c r="BB21" i="102"/>
  <c r="BA21" i="102"/>
  <c r="BC19" i="102"/>
  <c r="BD19" i="102" s="1"/>
  <c r="BB19" i="102"/>
  <c r="BA19" i="102"/>
  <c r="BC17" i="102"/>
  <c r="BD17" i="102" s="1"/>
  <c r="BB17" i="102"/>
  <c r="BA17" i="102"/>
  <c r="BC15" i="102"/>
  <c r="BD15" i="102" s="1"/>
  <c r="BB15" i="102"/>
  <c r="BA15" i="102"/>
  <c r="BC13" i="102"/>
  <c r="BD13" i="102" s="1"/>
  <c r="BB13" i="102"/>
  <c r="BA13" i="102"/>
  <c r="BC11" i="102"/>
  <c r="BD11" i="102" s="1"/>
  <c r="BB11" i="102"/>
  <c r="BA11" i="102"/>
  <c r="C11" i="102"/>
  <c r="C13" i="102" s="1"/>
  <c r="C15" i="102" s="1"/>
  <c r="C17" i="102" s="1"/>
  <c r="BC9" i="102"/>
  <c r="BD9" i="102" s="1"/>
  <c r="BB9" i="102"/>
  <c r="BA9" i="102"/>
  <c r="C9" i="102"/>
  <c r="BC7" i="102"/>
  <c r="BD7" i="102" s="1"/>
  <c r="BB7" i="102"/>
  <c r="BA7" i="102"/>
  <c r="BL75" i="101"/>
  <c r="BL76" i="101" s="1"/>
  <c r="BK75" i="101"/>
  <c r="BK76" i="101" s="1"/>
  <c r="BJ75" i="101"/>
  <c r="BJ76" i="101" s="1"/>
  <c r="BI75" i="101"/>
  <c r="BI76" i="101" s="1"/>
  <c r="BH75" i="101"/>
  <c r="BH76" i="101" s="1"/>
  <c r="BG75" i="101"/>
  <c r="BG76" i="101" s="1"/>
  <c r="BF75" i="101"/>
  <c r="BF76" i="101" s="1"/>
  <c r="BE75" i="101"/>
  <c r="BE76" i="101" s="1"/>
  <c r="BD75" i="101"/>
  <c r="BD76" i="101" s="1"/>
  <c r="BB73" i="101"/>
  <c r="BC73" i="101" s="1"/>
  <c r="BA73" i="101"/>
  <c r="AZ73" i="101"/>
  <c r="BB71" i="101"/>
  <c r="BC71" i="101" s="1"/>
  <c r="BA71" i="101"/>
  <c r="AZ71" i="101"/>
  <c r="BB69" i="101"/>
  <c r="BC69" i="101" s="1"/>
  <c r="BA69" i="101"/>
  <c r="AZ69" i="101"/>
  <c r="BB67" i="101"/>
  <c r="BC67" i="101" s="1"/>
  <c r="BA67" i="101"/>
  <c r="AZ67" i="101"/>
  <c r="BB65" i="101"/>
  <c r="BC65" i="101" s="1"/>
  <c r="BA65" i="101"/>
  <c r="AZ65" i="101"/>
  <c r="BB63" i="101"/>
  <c r="BC63" i="101" s="1"/>
  <c r="BA63" i="101"/>
  <c r="AZ63" i="101"/>
  <c r="BB61" i="101"/>
  <c r="BC61" i="101" s="1"/>
  <c r="BA61" i="101"/>
  <c r="AZ61" i="101"/>
  <c r="BB59" i="101"/>
  <c r="BC59" i="101" s="1"/>
  <c r="BA59" i="101"/>
  <c r="AZ59" i="101"/>
  <c r="BB57" i="101"/>
  <c r="BC57" i="101" s="1"/>
  <c r="BA57" i="101"/>
  <c r="AZ57" i="101"/>
  <c r="C57" i="101"/>
  <c r="C59" i="101" s="1"/>
  <c r="BB55" i="101"/>
  <c r="BC55" i="101" s="1"/>
  <c r="BA55" i="101"/>
  <c r="AZ55" i="101"/>
  <c r="C55" i="101"/>
  <c r="BB53" i="101"/>
  <c r="BC53" i="101" s="1"/>
  <c r="BA53" i="101"/>
  <c r="AZ53" i="101"/>
  <c r="BB51" i="101"/>
  <c r="BC51" i="101" s="1"/>
  <c r="BA51" i="101"/>
  <c r="AZ51" i="101"/>
  <c r="BB49" i="101"/>
  <c r="BC49" i="101" s="1"/>
  <c r="BA49" i="101"/>
  <c r="AZ49" i="101"/>
  <c r="BB47" i="101"/>
  <c r="BC47" i="101" s="1"/>
  <c r="BA47" i="101"/>
  <c r="AZ47" i="101"/>
  <c r="BB45" i="101"/>
  <c r="BC45" i="101" s="1"/>
  <c r="BA45" i="101"/>
  <c r="AZ45" i="101"/>
  <c r="BB43" i="101"/>
  <c r="BC43" i="101" s="1"/>
  <c r="BA43" i="101"/>
  <c r="AZ43" i="101"/>
  <c r="BB41" i="101"/>
  <c r="BC41" i="101" s="1"/>
  <c r="BA41" i="101"/>
  <c r="AZ41" i="101"/>
  <c r="BB39" i="101"/>
  <c r="BC39" i="101" s="1"/>
  <c r="BA39" i="101"/>
  <c r="AZ39" i="101"/>
  <c r="BB37" i="101"/>
  <c r="BC37" i="101" s="1"/>
  <c r="BA37" i="101"/>
  <c r="AZ37" i="101"/>
  <c r="BB35" i="101"/>
  <c r="BC35" i="101" s="1"/>
  <c r="BA35" i="101"/>
  <c r="AZ35" i="101"/>
  <c r="BB33" i="101"/>
  <c r="BC33" i="101" s="1"/>
  <c r="BA33" i="101"/>
  <c r="AZ33" i="101"/>
  <c r="BB31" i="101"/>
  <c r="BC31" i="101" s="1"/>
  <c r="BA31" i="101"/>
  <c r="AZ31" i="101"/>
  <c r="BB29" i="101"/>
  <c r="BC29" i="101" s="1"/>
  <c r="BA29" i="101"/>
  <c r="AZ29" i="101"/>
  <c r="BB27" i="101"/>
  <c r="BC27" i="101" s="1"/>
  <c r="BA27" i="101"/>
  <c r="AZ27" i="101"/>
  <c r="C27" i="101"/>
  <c r="BB25" i="101"/>
  <c r="BC25" i="101" s="1"/>
  <c r="BA25" i="101"/>
  <c r="AZ25" i="101"/>
  <c r="BB23" i="101"/>
  <c r="BC23" i="101" s="1"/>
  <c r="BA23" i="101"/>
  <c r="AZ23" i="101"/>
  <c r="BB21" i="101"/>
  <c r="BC21" i="101" s="1"/>
  <c r="BA21" i="101"/>
  <c r="AZ21" i="101"/>
  <c r="C21" i="101"/>
  <c r="C23" i="101" s="1"/>
  <c r="C25" i="101" s="1"/>
  <c r="BB19" i="101"/>
  <c r="BC19" i="101" s="1"/>
  <c r="BA19" i="101"/>
  <c r="AZ19" i="101"/>
  <c r="BB17" i="101"/>
  <c r="BC17" i="101" s="1"/>
  <c r="BA17" i="101"/>
  <c r="AZ17" i="101"/>
  <c r="BB15" i="101"/>
  <c r="BC15" i="101" s="1"/>
  <c r="BA15" i="101"/>
  <c r="AZ15" i="101"/>
  <c r="BB13" i="101"/>
  <c r="BC13" i="101" s="1"/>
  <c r="BA13" i="101"/>
  <c r="AZ13" i="101"/>
  <c r="BB11" i="101"/>
  <c r="BC11" i="101" s="1"/>
  <c r="BA11" i="101"/>
  <c r="AZ11" i="101"/>
  <c r="BB9" i="101"/>
  <c r="BC9" i="101" s="1"/>
  <c r="BA9" i="101"/>
  <c r="AZ9" i="101"/>
  <c r="C9" i="101"/>
  <c r="C11" i="101" s="1"/>
  <c r="C13" i="101" s="1"/>
  <c r="C15" i="101" s="1"/>
  <c r="C17" i="101" s="1"/>
  <c r="BB7" i="101"/>
  <c r="BC7" i="101" s="1"/>
  <c r="BA7" i="101"/>
  <c r="AZ7" i="101"/>
  <c r="F4" i="101"/>
  <c r="G4" i="101" s="1"/>
  <c r="BA23" i="102" l="1"/>
  <c r="BD75" i="102"/>
  <c r="BD76" i="102" s="1"/>
  <c r="H4" i="101"/>
  <c r="I4" i="101" s="1"/>
  <c r="J4" i="101" s="1"/>
  <c r="K4" i="101" s="1"/>
  <c r="L4" i="101" s="1"/>
  <c r="M4" i="101" s="1"/>
  <c r="N4" i="101" s="1"/>
  <c r="O4" i="101" s="1"/>
  <c r="P4" i="101" s="1"/>
  <c r="Q4" i="101" s="1"/>
  <c r="R4" i="101" s="1"/>
  <c r="S4" i="101" s="1"/>
  <c r="T4" i="101" s="1"/>
  <c r="AM31" i="101"/>
  <c r="AN31" i="101" s="1"/>
  <c r="AM33" i="101"/>
  <c r="AN33" i="101" s="1"/>
  <c r="AM49" i="101"/>
  <c r="AN49" i="101" s="1"/>
  <c r="AM43" i="101"/>
  <c r="AN43" i="101" s="1"/>
  <c r="AM41" i="101"/>
  <c r="AN41" i="101" s="1"/>
  <c r="BC75" i="101"/>
  <c r="BC76" i="101" s="1"/>
  <c r="AM21" i="101"/>
  <c r="AN21" i="101" s="1"/>
  <c r="AM19" i="101"/>
  <c r="AN19" i="101" s="1"/>
  <c r="AM17" i="101"/>
  <c r="AN17" i="101" s="1"/>
  <c r="AM73" i="101"/>
  <c r="AN73" i="101" s="1"/>
  <c r="AM63" i="101"/>
  <c r="AN63" i="101" s="1"/>
  <c r="AM61" i="101"/>
  <c r="AN61" i="101" s="1"/>
  <c r="AM59" i="101"/>
  <c r="AN59" i="101" s="1"/>
  <c r="F4" i="100"/>
  <c r="G4" i="100" s="1"/>
  <c r="H4" i="100" s="1"/>
  <c r="I4" i="100" s="1"/>
  <c r="J4" i="100" s="1"/>
  <c r="K4" i="100" s="1"/>
  <c r="L4" i="100" s="1"/>
  <c r="M4" i="100" s="1"/>
  <c r="N4" i="100" s="1"/>
  <c r="O4" i="100" s="1"/>
  <c r="P4" i="100" s="1"/>
  <c r="Q4" i="100" s="1"/>
  <c r="R4" i="100" s="1"/>
  <c r="S4" i="100" s="1"/>
  <c r="S4" i="97"/>
  <c r="T4" i="97" s="1"/>
  <c r="U4" i="97" s="1"/>
  <c r="G4" i="97"/>
  <c r="AS73" i="101" l="1"/>
  <c r="AM7" i="101"/>
  <c r="AN7" i="101" s="1"/>
  <c r="AM39" i="101"/>
  <c r="AN39" i="101" s="1"/>
  <c r="AM51" i="101"/>
  <c r="AN51" i="101" s="1"/>
  <c r="AM65" i="101"/>
  <c r="AN65" i="101" s="1"/>
  <c r="AM23" i="101"/>
  <c r="AN23" i="101" s="1"/>
  <c r="AM27" i="101"/>
  <c r="AN27" i="101" s="1"/>
  <c r="AM13" i="101"/>
  <c r="AN13" i="101" s="1"/>
  <c r="AM35" i="101"/>
  <c r="AN35" i="101" s="1"/>
  <c r="AM67" i="101"/>
  <c r="AN67" i="101" s="1"/>
  <c r="AM53" i="101"/>
  <c r="AN53" i="101" s="1"/>
  <c r="AM25" i="101"/>
  <c r="AN25" i="101" s="1"/>
  <c r="AM47" i="101"/>
  <c r="AN47" i="101" s="1"/>
  <c r="AM15" i="101"/>
  <c r="AN15" i="101" s="1"/>
  <c r="AM69" i="101"/>
  <c r="AN69" i="101" s="1"/>
  <c r="AM37" i="101"/>
  <c r="AN37" i="101" s="1"/>
  <c r="AM45" i="101"/>
  <c r="AN45" i="101" s="1"/>
  <c r="AM11" i="101"/>
  <c r="AN11" i="101" s="1"/>
  <c r="AM9" i="101"/>
  <c r="AN9" i="101" s="1"/>
  <c r="AM71" i="101"/>
  <c r="AN71" i="101" s="1"/>
  <c r="AM57" i="101"/>
  <c r="AN57" i="101" s="1"/>
  <c r="AS57" i="101" s="1"/>
  <c r="AM29" i="101"/>
  <c r="AN29" i="101" s="1"/>
  <c r="AM55" i="101"/>
  <c r="AN55" i="101" s="1"/>
  <c r="I42" i="73"/>
  <c r="I41" i="73"/>
  <c r="I40" i="73"/>
  <c r="I39" i="73"/>
  <c r="I38" i="73"/>
  <c r="I37" i="73"/>
  <c r="I36" i="73"/>
  <c r="I35" i="73"/>
  <c r="I34" i="73"/>
  <c r="I33" i="73"/>
  <c r="AS19" i="101" s="1"/>
  <c r="I32" i="73"/>
  <c r="I31" i="73"/>
  <c r="I18" i="73"/>
  <c r="I17" i="73"/>
  <c r="I16" i="73"/>
  <c r="I15" i="73"/>
  <c r="I14" i="73"/>
  <c r="I13" i="73"/>
  <c r="I12" i="73"/>
  <c r="I11" i="73"/>
  <c r="I10" i="73"/>
  <c r="I9" i="73"/>
  <c r="AS41" i="101" s="1"/>
  <c r="I8" i="73"/>
  <c r="I7" i="73"/>
  <c r="AS65" i="101" l="1"/>
  <c r="AS71" i="101"/>
  <c r="AS25" i="101"/>
  <c r="AS51" i="101"/>
  <c r="AS31" i="101"/>
  <c r="AS9" i="101"/>
  <c r="AS53" i="101"/>
  <c r="AS59" i="101"/>
  <c r="AS33" i="101"/>
  <c r="AS11" i="101"/>
  <c r="AS67" i="101"/>
  <c r="AS39" i="101"/>
  <c r="AS17" i="101"/>
  <c r="AS7" i="101"/>
  <c r="AT7" i="101" s="1"/>
  <c r="AS61" i="101"/>
  <c r="AS13" i="101"/>
  <c r="AS21" i="101"/>
  <c r="AS49" i="101"/>
  <c r="AS55" i="101"/>
  <c r="AS69" i="101"/>
  <c r="AS27" i="101"/>
  <c r="AS63" i="101"/>
  <c r="AS43" i="101"/>
  <c r="AS47" i="101"/>
  <c r="AS45" i="101"/>
  <c r="AS35" i="101"/>
  <c r="AS37" i="101"/>
  <c r="AS29" i="101"/>
  <c r="AS15" i="101"/>
  <c r="AS23" i="101"/>
  <c r="BK76" i="100"/>
  <c r="BG76" i="100"/>
  <c r="BF76" i="100"/>
  <c r="BL75" i="100"/>
  <c r="BL76" i="100" s="1"/>
  <c r="BK75" i="100"/>
  <c r="BJ75" i="100"/>
  <c r="BJ76" i="100" s="1"/>
  <c r="BI75" i="100"/>
  <c r="BI76" i="100" s="1"/>
  <c r="BH75" i="100"/>
  <c r="BH76" i="100" s="1"/>
  <c r="BG75" i="100"/>
  <c r="BF75" i="100"/>
  <c r="BE75" i="100"/>
  <c r="BE76" i="100" s="1"/>
  <c r="BD75" i="100"/>
  <c r="BD76" i="100" s="1"/>
  <c r="BB73" i="100"/>
  <c r="BC73" i="100" s="1"/>
  <c r="BA73" i="100"/>
  <c r="AZ73" i="100"/>
  <c r="BB71" i="100"/>
  <c r="BC71" i="100" s="1"/>
  <c r="BA71" i="100"/>
  <c r="AZ71" i="100"/>
  <c r="BB69" i="100"/>
  <c r="BC69" i="100" s="1"/>
  <c r="BA69" i="100"/>
  <c r="AZ69" i="100"/>
  <c r="BB67" i="100"/>
  <c r="BC67" i="100" s="1"/>
  <c r="BA67" i="100"/>
  <c r="AZ67" i="100"/>
  <c r="BB65" i="100"/>
  <c r="BC65" i="100" s="1"/>
  <c r="BA65" i="100"/>
  <c r="AZ65" i="100"/>
  <c r="BB63" i="100"/>
  <c r="BC63" i="100" s="1"/>
  <c r="BA63" i="100"/>
  <c r="AZ63" i="100"/>
  <c r="BB61" i="100"/>
  <c r="BC61" i="100" s="1"/>
  <c r="BA61" i="100"/>
  <c r="AZ61" i="100"/>
  <c r="BB59" i="100"/>
  <c r="BC59" i="100" s="1"/>
  <c r="BA59" i="100"/>
  <c r="AZ59" i="100"/>
  <c r="BB57" i="100"/>
  <c r="BC57" i="100" s="1"/>
  <c r="BA57" i="100"/>
  <c r="AZ57" i="100"/>
  <c r="BB55" i="100"/>
  <c r="BC55" i="100" s="1"/>
  <c r="BA55" i="100"/>
  <c r="AZ55" i="100"/>
  <c r="C55" i="100"/>
  <c r="C57" i="100" s="1"/>
  <c r="C59" i="100" s="1"/>
  <c r="BB53" i="100"/>
  <c r="BC53" i="100" s="1"/>
  <c r="BA53" i="100"/>
  <c r="AZ53" i="100"/>
  <c r="BB51" i="100"/>
  <c r="BC51" i="100" s="1"/>
  <c r="BA51" i="100"/>
  <c r="AZ51" i="100"/>
  <c r="BB49" i="100"/>
  <c r="BC49" i="100" s="1"/>
  <c r="BA49" i="100"/>
  <c r="AZ49" i="100"/>
  <c r="BB47" i="100"/>
  <c r="BC47" i="100" s="1"/>
  <c r="BA47" i="100"/>
  <c r="AZ47" i="100"/>
  <c r="BB45" i="100"/>
  <c r="BC45" i="100" s="1"/>
  <c r="BA45" i="100"/>
  <c r="AZ45" i="100"/>
  <c r="BB43" i="100"/>
  <c r="BC43" i="100" s="1"/>
  <c r="BA43" i="100"/>
  <c r="AZ43" i="100"/>
  <c r="BB41" i="100"/>
  <c r="BC41" i="100" s="1"/>
  <c r="BA41" i="100"/>
  <c r="AZ41" i="100"/>
  <c r="BB39" i="100"/>
  <c r="BC39" i="100" s="1"/>
  <c r="BA39" i="100"/>
  <c r="AZ39" i="100"/>
  <c r="BB37" i="100"/>
  <c r="BC37" i="100" s="1"/>
  <c r="BA37" i="100"/>
  <c r="AZ37" i="100"/>
  <c r="BB35" i="100"/>
  <c r="BC35" i="100" s="1"/>
  <c r="BA35" i="100"/>
  <c r="AZ35" i="100"/>
  <c r="BB33" i="100"/>
  <c r="BC33" i="100" s="1"/>
  <c r="BA33" i="100"/>
  <c r="AZ33" i="100"/>
  <c r="BB31" i="100"/>
  <c r="BC31" i="100" s="1"/>
  <c r="BA31" i="100"/>
  <c r="AZ31" i="100"/>
  <c r="BB29" i="100"/>
  <c r="BC29" i="100" s="1"/>
  <c r="BA29" i="100"/>
  <c r="AZ29" i="100"/>
  <c r="BB27" i="100"/>
  <c r="BC27" i="100" s="1"/>
  <c r="BA27" i="100"/>
  <c r="AZ27" i="100"/>
  <c r="BB25" i="100"/>
  <c r="BC25" i="100" s="1"/>
  <c r="BA25" i="100"/>
  <c r="AZ25" i="100"/>
  <c r="BB23" i="100"/>
  <c r="BC23" i="100" s="1"/>
  <c r="BA23" i="100"/>
  <c r="AZ23" i="100"/>
  <c r="C23" i="100"/>
  <c r="C25" i="100" s="1"/>
  <c r="C27" i="100" s="1"/>
  <c r="BB21" i="100"/>
  <c r="BC21" i="100" s="1"/>
  <c r="BA21" i="100"/>
  <c r="AZ21" i="100"/>
  <c r="C21" i="100"/>
  <c r="BB19" i="100"/>
  <c r="BC19" i="100" s="1"/>
  <c r="BA19" i="100"/>
  <c r="AZ19" i="100"/>
  <c r="BB17" i="100"/>
  <c r="BC17" i="100" s="1"/>
  <c r="BA17" i="100"/>
  <c r="AZ17" i="100"/>
  <c r="BB15" i="100"/>
  <c r="BC15" i="100" s="1"/>
  <c r="BA15" i="100"/>
  <c r="AZ15" i="100"/>
  <c r="BB13" i="100"/>
  <c r="BC13" i="100" s="1"/>
  <c r="BA13" i="100"/>
  <c r="AZ13" i="100"/>
  <c r="BB11" i="100"/>
  <c r="BC11" i="100" s="1"/>
  <c r="BA11" i="100"/>
  <c r="AZ11" i="100"/>
  <c r="BB9" i="100"/>
  <c r="BC9" i="100" s="1"/>
  <c r="BA9" i="100"/>
  <c r="AZ9" i="100"/>
  <c r="C9" i="100"/>
  <c r="C11" i="100" s="1"/>
  <c r="C13" i="100" s="1"/>
  <c r="C15" i="100" s="1"/>
  <c r="C17" i="100" s="1"/>
  <c r="BB7" i="100"/>
  <c r="BC7" i="100" s="1"/>
  <c r="BA7" i="100"/>
  <c r="AZ7" i="100"/>
  <c r="H4" i="97"/>
  <c r="I4" i="97" s="1"/>
  <c r="J4" i="97" s="1"/>
  <c r="K4" i="97" s="1"/>
  <c r="L4" i="97" s="1"/>
  <c r="M4" i="97" s="1"/>
  <c r="N4" i="97" s="1"/>
  <c r="O4" i="97" s="1"/>
  <c r="P4" i="97" s="1"/>
  <c r="AT9" i="101" l="1"/>
  <c r="AT11" i="101" s="1"/>
  <c r="AT13" i="101" s="1"/>
  <c r="AT15" i="101" s="1"/>
  <c r="AT17" i="101" s="1"/>
  <c r="AT19" i="101" s="1"/>
  <c r="AT21" i="101" s="1"/>
  <c r="AT23" i="101" s="1"/>
  <c r="AT25" i="101" s="1"/>
  <c r="AT27" i="101" s="1"/>
  <c r="AT29" i="101" s="1"/>
  <c r="AT31" i="101" s="1"/>
  <c r="AT33" i="101" s="1"/>
  <c r="AT35" i="101" s="1"/>
  <c r="AT37" i="101" s="1"/>
  <c r="AT39" i="101" s="1"/>
  <c r="AT41" i="101" s="1"/>
  <c r="AT43" i="101" s="1"/>
  <c r="AM39" i="100"/>
  <c r="AN39" i="100" s="1"/>
  <c r="BC75" i="100"/>
  <c r="BC76" i="100" s="1"/>
  <c r="AM61" i="100"/>
  <c r="AN61" i="100" s="1"/>
  <c r="AS61" i="100" s="1"/>
  <c r="BB73" i="97"/>
  <c r="BC73" i="97" s="1"/>
  <c r="BA73" i="97"/>
  <c r="AZ73" i="97"/>
  <c r="BB71" i="97"/>
  <c r="BC71" i="97" s="1"/>
  <c r="BA71" i="97"/>
  <c r="AZ71" i="97"/>
  <c r="BB69" i="97"/>
  <c r="BC69" i="97" s="1"/>
  <c r="BA69" i="97"/>
  <c r="AZ69" i="97"/>
  <c r="BB67" i="97"/>
  <c r="BC67" i="97" s="1"/>
  <c r="BA67" i="97"/>
  <c r="AZ67" i="97"/>
  <c r="BB65" i="97"/>
  <c r="BC65" i="97" s="1"/>
  <c r="BA65" i="97"/>
  <c r="AZ65" i="97"/>
  <c r="BB63" i="97"/>
  <c r="BC63" i="97" s="1"/>
  <c r="BA63" i="97"/>
  <c r="AZ63" i="97"/>
  <c r="AT51" i="101" l="1"/>
  <c r="AT53" i="101" s="1"/>
  <c r="AT55" i="101" s="1"/>
  <c r="AT57" i="101" s="1"/>
  <c r="AT59" i="101" s="1"/>
  <c r="AT47" i="101"/>
  <c r="AT49" i="101" s="1"/>
  <c r="AT45" i="101"/>
  <c r="AM15" i="100"/>
  <c r="AN15" i="100" s="1"/>
  <c r="AS15" i="100" s="1"/>
  <c r="AM59" i="100"/>
  <c r="AN59" i="100" s="1"/>
  <c r="AS59" i="100" s="1"/>
  <c r="AM29" i="100"/>
  <c r="AN29" i="100" s="1"/>
  <c r="AS29" i="100" s="1"/>
  <c r="AM33" i="100"/>
  <c r="AN33" i="100" s="1"/>
  <c r="AS33" i="100" s="1"/>
  <c r="AM27" i="100"/>
  <c r="AN27" i="100" s="1"/>
  <c r="AS27" i="100" s="1"/>
  <c r="AM49" i="100"/>
  <c r="AN49" i="100" s="1"/>
  <c r="AS49" i="100" s="1"/>
  <c r="AM31" i="100"/>
  <c r="AN31" i="100" s="1"/>
  <c r="AS31" i="100" s="1"/>
  <c r="AM9" i="100"/>
  <c r="AN9" i="100" s="1"/>
  <c r="AS9" i="100" s="1"/>
  <c r="AM47" i="100"/>
  <c r="AN47" i="100" s="1"/>
  <c r="AS47" i="100" s="1"/>
  <c r="AM11" i="100"/>
  <c r="AN11" i="100" s="1"/>
  <c r="AS11" i="100" s="1"/>
  <c r="AM45" i="100"/>
  <c r="AN45" i="100" s="1"/>
  <c r="AS45" i="100" s="1"/>
  <c r="AM71" i="100"/>
  <c r="AN71" i="100" s="1"/>
  <c r="AS71" i="100" s="1"/>
  <c r="AM55" i="100"/>
  <c r="AN55" i="100" s="1"/>
  <c r="AS55" i="100" s="1"/>
  <c r="AM43" i="100"/>
  <c r="AN43" i="100" s="1"/>
  <c r="AS43" i="100" s="1"/>
  <c r="AM65" i="100"/>
  <c r="AN65" i="100" s="1"/>
  <c r="AS65" i="100" s="1"/>
  <c r="AM23" i="100"/>
  <c r="AN23" i="100" s="1"/>
  <c r="AS23" i="100" s="1"/>
  <c r="AS39" i="100"/>
  <c r="AM63" i="100"/>
  <c r="AN63" i="100" s="1"/>
  <c r="AS63" i="100" s="1"/>
  <c r="AM21" i="100"/>
  <c r="AN21" i="100" s="1"/>
  <c r="AS21" i="100" s="1"/>
  <c r="AM17" i="100"/>
  <c r="AN17" i="100" s="1"/>
  <c r="AS17" i="100" s="1"/>
  <c r="AM35" i="100"/>
  <c r="AN35" i="100" s="1"/>
  <c r="AS35" i="100" s="1"/>
  <c r="AM41" i="100"/>
  <c r="AN41" i="100" s="1"/>
  <c r="AS41" i="100" s="1"/>
  <c r="AM13" i="100"/>
  <c r="AN13" i="100" s="1"/>
  <c r="AS13" i="100" s="1"/>
  <c r="AM69" i="100"/>
  <c r="AN69" i="100" s="1"/>
  <c r="AS69" i="100" s="1"/>
  <c r="AM25" i="100"/>
  <c r="AN25" i="100" s="1"/>
  <c r="AS25" i="100" s="1"/>
  <c r="AM53" i="100"/>
  <c r="AN53" i="100" s="1"/>
  <c r="AS53" i="100" s="1"/>
  <c r="AM37" i="100"/>
  <c r="AN37" i="100" s="1"/>
  <c r="AS37" i="100" s="1"/>
  <c r="AM57" i="100"/>
  <c r="AN57" i="100" s="1"/>
  <c r="AS57" i="100" s="1"/>
  <c r="AM67" i="100"/>
  <c r="AN67" i="100" s="1"/>
  <c r="AS67" i="100" s="1"/>
  <c r="AM7" i="100"/>
  <c r="AN7" i="100" s="1"/>
  <c r="AS7" i="100" s="1"/>
  <c r="AT7" i="100" s="1"/>
  <c r="AM51" i="100"/>
  <c r="AN51" i="100" s="1"/>
  <c r="AS51" i="100" s="1"/>
  <c r="AM19" i="100"/>
  <c r="AN19" i="100" s="1"/>
  <c r="AS19" i="100" s="1"/>
  <c r="AM73" i="100"/>
  <c r="AN73" i="100" s="1"/>
  <c r="AS73" i="100" s="1"/>
  <c r="AM69" i="97"/>
  <c r="AN69" i="97" s="1"/>
  <c r="AM65" i="97"/>
  <c r="AN65" i="97" s="1"/>
  <c r="AM67" i="97"/>
  <c r="AN67" i="97" s="1"/>
  <c r="AM71" i="97"/>
  <c r="AN71" i="97" s="1"/>
  <c r="AM73" i="97"/>
  <c r="AN73" i="97" s="1"/>
  <c r="AM63" i="97"/>
  <c r="AN63" i="97" s="1"/>
  <c r="AT71" i="101" l="1"/>
  <c r="AT73" i="101" s="1"/>
  <c r="AT63" i="101"/>
  <c r="AT65" i="101" s="1"/>
  <c r="AT67" i="101" s="1"/>
  <c r="AT69" i="101" s="1"/>
  <c r="AT61" i="101"/>
  <c r="AT9" i="100"/>
  <c r="AT11" i="100" s="1"/>
  <c r="AM51" i="97"/>
  <c r="AM59" i="97"/>
  <c r="AT13" i="100" l="1"/>
  <c r="AT15" i="100" s="1"/>
  <c r="AT17" i="100" s="1"/>
  <c r="AT19" i="100" s="1"/>
  <c r="AT21" i="100" s="1"/>
  <c r="AM41" i="97"/>
  <c r="AM43" i="97"/>
  <c r="AM45" i="97"/>
  <c r="AM47" i="97"/>
  <c r="AM49" i="97"/>
  <c r="AM53" i="97"/>
  <c r="AM55" i="97"/>
  <c r="AM57" i="97"/>
  <c r="AM61" i="97"/>
  <c r="AN61" i="97" s="1"/>
  <c r="AM7" i="97"/>
  <c r="BB39" i="97"/>
  <c r="BC39" i="97" s="1"/>
  <c r="BA41" i="97"/>
  <c r="BB61" i="97"/>
  <c r="BC61" i="97" s="1"/>
  <c r="C55" i="97"/>
  <c r="C57" i="97" s="1"/>
  <c r="C59" i="97" s="1"/>
  <c r="BB41" i="97"/>
  <c r="BC41" i="97" s="1"/>
  <c r="AZ39" i="97"/>
  <c r="BB37" i="97"/>
  <c r="BC37" i="97" s="1"/>
  <c r="BA37" i="97"/>
  <c r="AZ37" i="97"/>
  <c r="BB35" i="97"/>
  <c r="BC35" i="97" s="1"/>
  <c r="BA35" i="97"/>
  <c r="AZ35" i="97"/>
  <c r="BB33" i="97"/>
  <c r="BC33" i="97" s="1"/>
  <c r="BA33" i="97"/>
  <c r="AZ33" i="97"/>
  <c r="C33" i="97"/>
  <c r="C35" i="97" s="1"/>
  <c r="C37" i="97" s="1"/>
  <c r="C39" i="97" s="1"/>
  <c r="BB31" i="97"/>
  <c r="BC31" i="97" s="1"/>
  <c r="BA31" i="97"/>
  <c r="AZ31" i="97"/>
  <c r="BB29" i="97"/>
  <c r="BC29" i="97" s="1"/>
  <c r="BA29" i="97"/>
  <c r="AZ29" i="97"/>
  <c r="BB27" i="97"/>
  <c r="BC27" i="97" s="1"/>
  <c r="BA27" i="97"/>
  <c r="AZ27" i="97"/>
  <c r="BB25" i="97"/>
  <c r="BC25" i="97" s="1"/>
  <c r="BA25" i="97"/>
  <c r="AZ25" i="97"/>
  <c r="BB23" i="97"/>
  <c r="BC23" i="97" s="1"/>
  <c r="BA23" i="97"/>
  <c r="AZ23" i="97"/>
  <c r="BB21" i="97"/>
  <c r="BC21" i="97" s="1"/>
  <c r="BA21" i="97"/>
  <c r="AZ21" i="97"/>
  <c r="C21" i="97"/>
  <c r="C23" i="97" s="1"/>
  <c r="C25" i="97" s="1"/>
  <c r="C27" i="97" s="1"/>
  <c r="C29" i="97" s="1"/>
  <c r="BB19" i="97"/>
  <c r="BC19" i="97" s="1"/>
  <c r="BA19" i="97"/>
  <c r="AZ19" i="97"/>
  <c r="AT23" i="100" l="1"/>
  <c r="AT25" i="100" s="1"/>
  <c r="AZ61" i="97"/>
  <c r="BA61" i="97"/>
  <c r="BA39" i="97"/>
  <c r="AZ41" i="97"/>
  <c r="AT27" i="100" l="1"/>
  <c r="AT29" i="100" s="1"/>
  <c r="AT31" i="100" s="1"/>
  <c r="AT33" i="100" s="1"/>
  <c r="AT35" i="100" s="1"/>
  <c r="AT37" i="100" s="1"/>
  <c r="AT39" i="100" s="1"/>
  <c r="AT41" i="100" s="1"/>
  <c r="BB59" i="97"/>
  <c r="BC59" i="97" s="1"/>
  <c r="BA59" i="97"/>
  <c r="AN59" i="97"/>
  <c r="AZ59" i="97"/>
  <c r="J4" i="99"/>
  <c r="AT43" i="100" l="1"/>
  <c r="AT47" i="100" s="1"/>
  <c r="AT49" i="100" s="1"/>
  <c r="AT51" i="100"/>
  <c r="AT53" i="100" s="1"/>
  <c r="AT55" i="100" s="1"/>
  <c r="AT57" i="100" s="1"/>
  <c r="AT59" i="100" s="1"/>
  <c r="AT61" i="100" s="1"/>
  <c r="BA57" i="97"/>
  <c r="BB57" i="97"/>
  <c r="BC57" i="97" s="1"/>
  <c r="AN57" i="97"/>
  <c r="AZ57" i="97"/>
  <c r="BB17" i="97"/>
  <c r="BC17" i="97" s="1"/>
  <c r="BA17" i="97"/>
  <c r="AZ17" i="97"/>
  <c r="AT45" i="100" l="1"/>
  <c r="AM15" i="102"/>
  <c r="AN15" i="102" s="1"/>
  <c r="AS15" i="102" s="1"/>
  <c r="AT15" i="102" s="1"/>
  <c r="AU15" i="102" s="1"/>
  <c r="AS71" i="102"/>
  <c r="AS37" i="102"/>
  <c r="AS23" i="102"/>
  <c r="AS57" i="102"/>
  <c r="AS47" i="102"/>
  <c r="AS27" i="102"/>
  <c r="AT63" i="100"/>
  <c r="AT65" i="100" s="1"/>
  <c r="AT67" i="100" s="1"/>
  <c r="AT69" i="100" s="1"/>
  <c r="AT71" i="100"/>
  <c r="AT73" i="100" s="1"/>
  <c r="BB55" i="97"/>
  <c r="BC55" i="97" s="1"/>
  <c r="AN55" i="97"/>
  <c r="AZ55" i="97"/>
  <c r="BA55" i="97"/>
  <c r="AM35" i="97"/>
  <c r="AN35" i="97" s="1"/>
  <c r="AM37" i="97"/>
  <c r="AN37" i="97" s="1"/>
  <c r="AM19" i="97"/>
  <c r="AN19" i="97" s="1"/>
  <c r="AM23" i="97"/>
  <c r="AN23" i="97" s="1"/>
  <c r="AM39" i="97"/>
  <c r="AN39" i="97" s="1"/>
  <c r="AM33" i="97"/>
  <c r="AN33" i="97" s="1"/>
  <c r="AN41" i="97"/>
  <c r="AM27" i="97"/>
  <c r="AN27" i="97" s="1"/>
  <c r="AM25" i="97"/>
  <c r="AN25" i="97" s="1"/>
  <c r="AM31" i="97"/>
  <c r="AN31" i="97" s="1"/>
  <c r="AM29" i="97"/>
  <c r="AN29" i="97" s="1"/>
  <c r="AM21" i="97"/>
  <c r="AN21" i="97" s="1"/>
  <c r="AM17" i="97"/>
  <c r="BB15" i="97"/>
  <c r="BC15" i="97" s="1"/>
  <c r="BA15" i="97"/>
  <c r="AZ15" i="97"/>
  <c r="AM15" i="97"/>
  <c r="AM11" i="97"/>
  <c r="BB13" i="97"/>
  <c r="BC13" i="97" s="1"/>
  <c r="BA13" i="97"/>
  <c r="AZ13" i="97"/>
  <c r="BB11" i="97"/>
  <c r="BC11" i="97" s="1"/>
  <c r="BA11" i="97"/>
  <c r="AZ11" i="97"/>
  <c r="BB9" i="97"/>
  <c r="BC9" i="97" s="1"/>
  <c r="BA9" i="97"/>
  <c r="AZ9" i="97"/>
  <c r="AS73" i="102" l="1"/>
  <c r="AS33" i="102"/>
  <c r="AM13" i="102"/>
  <c r="AN13" i="102" s="1"/>
  <c r="AS13" i="102" s="1"/>
  <c r="AT13" i="102" s="1"/>
  <c r="AS21" i="102"/>
  <c r="AS25" i="102"/>
  <c r="AS63" i="102"/>
  <c r="AS55" i="102"/>
  <c r="AM17" i="102"/>
  <c r="AN17" i="102" s="1"/>
  <c r="AS17" i="102" s="1"/>
  <c r="AT17" i="102" s="1"/>
  <c r="AU17" i="102" s="1"/>
  <c r="AS35" i="102"/>
  <c r="AS67" i="102"/>
  <c r="AS53" i="102"/>
  <c r="AS65" i="102"/>
  <c r="AS41" i="102"/>
  <c r="AS19" i="102"/>
  <c r="AS59" i="102"/>
  <c r="AM9" i="102"/>
  <c r="AN9" i="102" s="1"/>
  <c r="AS9" i="102" s="1"/>
  <c r="AT9" i="102" s="1"/>
  <c r="AS49" i="102"/>
  <c r="AM7" i="102"/>
  <c r="AN7" i="102" s="1"/>
  <c r="AS7" i="102" s="1"/>
  <c r="AS29" i="102"/>
  <c r="AS45" i="102"/>
  <c r="AS31" i="102"/>
  <c r="AS61" i="102"/>
  <c r="AM11" i="102"/>
  <c r="AN11" i="102" s="1"/>
  <c r="AS11" i="102" s="1"/>
  <c r="AT11" i="102" s="1"/>
  <c r="AU11" i="102" s="1"/>
  <c r="AS51" i="102"/>
  <c r="AS43" i="102"/>
  <c r="AS39" i="102"/>
  <c r="AS69" i="102"/>
  <c r="AN11" i="97"/>
  <c r="AN15" i="97"/>
  <c r="BA53" i="97"/>
  <c r="BB53" i="97"/>
  <c r="BC53" i="97" s="1"/>
  <c r="AZ53" i="97"/>
  <c r="AN53" i="97"/>
  <c r="AN17" i="97"/>
  <c r="AM13" i="97"/>
  <c r="AU13" i="102" l="1"/>
  <c r="AT7" i="102"/>
  <c r="AU7" i="102" s="1"/>
  <c r="AU9" i="102" s="1"/>
  <c r="AU21" i="102"/>
  <c r="AN13" i="97"/>
  <c r="AN51" i="97"/>
  <c r="BB51" i="97"/>
  <c r="BC51" i="97" s="1"/>
  <c r="BA51" i="97"/>
  <c r="AZ51" i="97"/>
  <c r="O39" i="99"/>
  <c r="P95" i="99" s="1"/>
  <c r="AU23" i="102" l="1"/>
  <c r="AU19" i="102"/>
  <c r="O93" i="99"/>
  <c r="BA49" i="97"/>
  <c r="BB49" i="97"/>
  <c r="BC49" i="97" s="1"/>
  <c r="AN49" i="97"/>
  <c r="AZ49" i="97"/>
  <c r="BD75" i="97"/>
  <c r="BD76" i="97" s="1"/>
  <c r="BE75" i="97"/>
  <c r="BE76" i="97" s="1"/>
  <c r="BF75" i="97"/>
  <c r="BF76" i="97" s="1"/>
  <c r="BG75" i="97"/>
  <c r="BG76" i="97" s="1"/>
  <c r="BH75" i="97"/>
  <c r="BH76" i="97" s="1"/>
  <c r="BI75" i="97"/>
  <c r="BI76" i="97" s="1"/>
  <c r="BJ75" i="97"/>
  <c r="BJ76" i="97" s="1"/>
  <c r="BK75" i="97"/>
  <c r="BK76" i="97" s="1"/>
  <c r="BL75" i="97"/>
  <c r="BL76" i="97" s="1"/>
  <c r="AU25" i="102" l="1"/>
  <c r="AU27" i="102" s="1"/>
  <c r="AU29" i="102" s="1"/>
  <c r="AU31" i="102" s="1"/>
  <c r="AU33" i="102" s="1"/>
  <c r="AU35" i="102" s="1"/>
  <c r="AU37" i="102" s="1"/>
  <c r="AU39" i="102" s="1"/>
  <c r="AU41" i="102" s="1"/>
  <c r="AU43" i="102" s="1"/>
  <c r="AU47" i="102" s="1"/>
  <c r="AU49" i="102" s="1"/>
  <c r="BB47" i="97"/>
  <c r="BC47" i="97" s="1"/>
  <c r="BA47" i="97"/>
  <c r="AZ47" i="97"/>
  <c r="AN47" i="97"/>
  <c r="A5" i="99"/>
  <c r="O53" i="99" s="1"/>
  <c r="AU45" i="102" l="1"/>
  <c r="AU51" i="102"/>
  <c r="AU53" i="102" s="1"/>
  <c r="BA45" i="97"/>
  <c r="BB45" i="97"/>
  <c r="BC45" i="97" s="1"/>
  <c r="AN45" i="97"/>
  <c r="AZ45" i="97"/>
  <c r="H61" i="96"/>
  <c r="H62" i="96"/>
  <c r="H63" i="96"/>
  <c r="H64" i="96"/>
  <c r="K64" i="96" s="1"/>
  <c r="M64" i="96" s="1"/>
  <c r="H60" i="96"/>
  <c r="K65" i="96"/>
  <c r="L65" i="96" s="1"/>
  <c r="K66" i="96"/>
  <c r="L66" i="96" s="1"/>
  <c r="K67" i="96"/>
  <c r="M67" i="96" s="1"/>
  <c r="K68" i="96"/>
  <c r="L68" i="96" s="1"/>
  <c r="M68" i="96"/>
  <c r="K69" i="96"/>
  <c r="M69" i="96" s="1"/>
  <c r="K70" i="96"/>
  <c r="M70" i="96" s="1"/>
  <c r="K71" i="96"/>
  <c r="M71" i="96" s="1"/>
  <c r="K72" i="96"/>
  <c r="M72" i="96" s="1"/>
  <c r="AU71" i="102" l="1"/>
  <c r="AU73" i="102" s="1"/>
  <c r="AU55" i="102"/>
  <c r="AU57" i="102" s="1"/>
  <c r="AU59" i="102" s="1"/>
  <c r="BB43" i="97"/>
  <c r="BC43" i="97" s="1"/>
  <c r="AZ43" i="97"/>
  <c r="BA43" i="97"/>
  <c r="AN43" i="97"/>
  <c r="M65" i="96"/>
  <c r="L67" i="96"/>
  <c r="L71" i="96"/>
  <c r="L69" i="96"/>
  <c r="M66" i="96"/>
  <c r="L72" i="96"/>
  <c r="L64" i="96"/>
  <c r="L70" i="96"/>
  <c r="AU63" i="102" l="1"/>
  <c r="AU65" i="102" s="1"/>
  <c r="AU67" i="102" s="1"/>
  <c r="AU69" i="102" s="1"/>
  <c r="AU61" i="102"/>
  <c r="B18" i="96"/>
  <c r="V18" i="96"/>
  <c r="X18" i="96" s="1"/>
  <c r="V21" i="96"/>
  <c r="Q3" i="96"/>
  <c r="S18" i="96" s="1"/>
  <c r="W18" i="96" l="1"/>
  <c r="W21" i="96"/>
  <c r="X21" i="96"/>
  <c r="B17" i="96" l="1"/>
  <c r="S5" i="96"/>
  <c r="V5" i="96" s="1"/>
  <c r="S6" i="96"/>
  <c r="V6" i="96" s="1"/>
  <c r="S7" i="96"/>
  <c r="V7" i="96" s="1"/>
  <c r="S8" i="96"/>
  <c r="V8" i="96" s="1"/>
  <c r="S9" i="96"/>
  <c r="V9" i="96" s="1"/>
  <c r="S10" i="96"/>
  <c r="V10" i="96" s="1"/>
  <c r="S11" i="96"/>
  <c r="V11" i="96" s="1"/>
  <c r="S12" i="96"/>
  <c r="V12" i="96" s="1"/>
  <c r="S13" i="96"/>
  <c r="V13" i="96" s="1"/>
  <c r="S14" i="96"/>
  <c r="V14" i="96" s="1"/>
  <c r="S15" i="96"/>
  <c r="V15" i="96" s="1"/>
  <c r="S16" i="96"/>
  <c r="V16" i="96" s="1"/>
  <c r="S17" i="96"/>
  <c r="V17" i="96" s="1"/>
  <c r="S4" i="96"/>
  <c r="U39" i="96"/>
  <c r="B16" i="96"/>
  <c r="B15" i="96"/>
  <c r="B14" i="96"/>
  <c r="B13" i="96"/>
  <c r="B12" i="96"/>
  <c r="B11" i="96"/>
  <c r="B10" i="96"/>
  <c r="B9" i="96"/>
  <c r="B8" i="96"/>
  <c r="B7" i="96"/>
  <c r="B6" i="96"/>
  <c r="B5" i="96"/>
  <c r="B4" i="96"/>
  <c r="X11" i="96" l="1"/>
  <c r="W11" i="96"/>
  <c r="X13" i="96"/>
  <c r="W13" i="96"/>
  <c r="X5" i="96"/>
  <c r="W5" i="96"/>
  <c r="W14" i="96"/>
  <c r="X14" i="96"/>
  <c r="W6" i="96"/>
  <c r="X6" i="96"/>
  <c r="X16" i="96"/>
  <c r="W16" i="96"/>
  <c r="X8" i="96"/>
  <c r="W8" i="96"/>
  <c r="X15" i="96"/>
  <c r="W15" i="96"/>
  <c r="W17" i="96"/>
  <c r="X17" i="96"/>
  <c r="W9" i="96"/>
  <c r="X9" i="96"/>
  <c r="X12" i="96"/>
  <c r="W12" i="96"/>
  <c r="X7" i="96"/>
  <c r="W7" i="96"/>
  <c r="X10" i="96"/>
  <c r="W10" i="96"/>
  <c r="S19" i="96"/>
  <c r="S20" i="96" s="1"/>
  <c r="K61" i="96"/>
  <c r="M61" i="96" s="1"/>
  <c r="K62" i="96"/>
  <c r="M62" i="96" s="1"/>
  <c r="K63" i="96"/>
  <c r="L80" i="99"/>
  <c r="L81" i="99"/>
  <c r="L82" i="99"/>
  <c r="L83" i="99"/>
  <c r="L84" i="99"/>
  <c r="L85" i="99"/>
  <c r="L73" i="99"/>
  <c r="L74" i="99"/>
  <c r="L75" i="99"/>
  <c r="L76" i="99"/>
  <c r="L77" i="99"/>
  <c r="L78" i="99"/>
  <c r="L72" i="99"/>
  <c r="J80" i="99"/>
  <c r="J81" i="99"/>
  <c r="J82" i="99"/>
  <c r="J83" i="99"/>
  <c r="J84" i="99"/>
  <c r="J85" i="99"/>
  <c r="J73" i="99"/>
  <c r="J74" i="99"/>
  <c r="J75" i="99"/>
  <c r="J76" i="99"/>
  <c r="J77" i="99"/>
  <c r="J78" i="99"/>
  <c r="L79" i="99"/>
  <c r="J79" i="99"/>
  <c r="J72" i="99"/>
  <c r="K72" i="99"/>
  <c r="K73" i="99"/>
  <c r="K74" i="99"/>
  <c r="K75" i="99"/>
  <c r="K76" i="99"/>
  <c r="K77" i="99"/>
  <c r="K78" i="99"/>
  <c r="K79" i="99"/>
  <c r="K80" i="99"/>
  <c r="K81" i="99"/>
  <c r="K82" i="99"/>
  <c r="K83" i="99"/>
  <c r="K84" i="99"/>
  <c r="K85" i="99"/>
  <c r="I80" i="99"/>
  <c r="I81" i="99"/>
  <c r="I82" i="99"/>
  <c r="I83" i="99"/>
  <c r="I84" i="99"/>
  <c r="I85" i="99"/>
  <c r="I79" i="99"/>
  <c r="I73" i="99"/>
  <c r="I74" i="99"/>
  <c r="I75" i="99"/>
  <c r="I76" i="99"/>
  <c r="I77" i="99"/>
  <c r="I78" i="99"/>
  <c r="I72" i="99"/>
  <c r="L66" i="99"/>
  <c r="L67" i="99"/>
  <c r="L68" i="99"/>
  <c r="L69" i="99"/>
  <c r="L70" i="99"/>
  <c r="L71" i="99"/>
  <c r="L65" i="99"/>
  <c r="L59" i="99"/>
  <c r="L60" i="99"/>
  <c r="L61" i="99"/>
  <c r="L62" i="99"/>
  <c r="L63" i="99"/>
  <c r="L64" i="99"/>
  <c r="L58" i="99"/>
  <c r="L52" i="99"/>
  <c r="L53" i="99"/>
  <c r="L54" i="99"/>
  <c r="L55" i="99"/>
  <c r="L56" i="99"/>
  <c r="L57" i="99"/>
  <c r="L51" i="99"/>
  <c r="J66" i="99"/>
  <c r="J67" i="99"/>
  <c r="J68" i="99"/>
  <c r="J69" i="99"/>
  <c r="J70" i="99"/>
  <c r="J71" i="99"/>
  <c r="J65" i="99"/>
  <c r="J59" i="99"/>
  <c r="J60" i="99"/>
  <c r="J61" i="99"/>
  <c r="J62" i="99"/>
  <c r="J63" i="99"/>
  <c r="J64" i="99"/>
  <c r="J58" i="99"/>
  <c r="J52" i="99"/>
  <c r="J53" i="99"/>
  <c r="J54" i="99"/>
  <c r="J55" i="99"/>
  <c r="J56" i="99"/>
  <c r="J57" i="99"/>
  <c r="J51" i="99"/>
  <c r="J48" i="99"/>
  <c r="I66" i="99"/>
  <c r="I67" i="99"/>
  <c r="I68" i="99"/>
  <c r="I69" i="99"/>
  <c r="I70" i="99"/>
  <c r="I71" i="99"/>
  <c r="I65" i="99"/>
  <c r="D26" i="96"/>
  <c r="D27" i="96" s="1"/>
  <c r="D28" i="96" s="1"/>
  <c r="C51" i="96"/>
  <c r="H29" i="96"/>
  <c r="B29" i="96"/>
  <c r="H26" i="96"/>
  <c r="B26" i="96"/>
  <c r="D29" i="96"/>
  <c r="P101" i="96"/>
  <c r="D101" i="96"/>
  <c r="O99" i="96"/>
  <c r="G99" i="96"/>
  <c r="N98" i="96"/>
  <c r="F98" i="96"/>
  <c r="M97" i="96"/>
  <c r="E97" i="96"/>
  <c r="O96" i="96"/>
  <c r="G96" i="96"/>
  <c r="N95" i="96"/>
  <c r="F95" i="96"/>
  <c r="M94" i="96"/>
  <c r="E94" i="96"/>
  <c r="O93" i="96"/>
  <c r="G93" i="96"/>
  <c r="N92" i="96"/>
  <c r="F92" i="96"/>
  <c r="M91" i="96"/>
  <c r="E91" i="96"/>
  <c r="O90" i="96"/>
  <c r="G90" i="96"/>
  <c r="N89" i="96"/>
  <c r="F89" i="96"/>
  <c r="M88" i="96"/>
  <c r="E88" i="96"/>
  <c r="O87" i="96"/>
  <c r="G87" i="96"/>
  <c r="N86" i="96"/>
  <c r="F86" i="96"/>
  <c r="M85" i="96"/>
  <c r="E85" i="96"/>
  <c r="O84" i="96"/>
  <c r="G84" i="96"/>
  <c r="N83" i="96"/>
  <c r="F83" i="96"/>
  <c r="M82" i="96"/>
  <c r="E82" i="96"/>
  <c r="O81" i="96"/>
  <c r="G81" i="96"/>
  <c r="N80" i="96"/>
  <c r="F80" i="96"/>
  <c r="M79" i="96"/>
  <c r="E79" i="96"/>
  <c r="M63" i="96" l="1"/>
  <c r="L63" i="96"/>
  <c r="K60" i="96"/>
  <c r="L60" i="96" s="1"/>
  <c r="H73" i="96"/>
  <c r="K73" i="96" s="1"/>
  <c r="L61" i="96"/>
  <c r="L62" i="96"/>
  <c r="V4" i="96"/>
  <c r="X4" i="96" s="1"/>
  <c r="C103" i="96"/>
  <c r="F100" i="96"/>
  <c r="E100" i="96"/>
  <c r="C104" i="96"/>
  <c r="N100" i="96"/>
  <c r="M100" i="96"/>
  <c r="O100" i="96"/>
  <c r="G100" i="96"/>
  <c r="M60" i="96" l="1"/>
  <c r="H74" i="96"/>
  <c r="K74" i="96" s="1"/>
  <c r="L73" i="96"/>
  <c r="M73" i="96"/>
  <c r="W4" i="96"/>
  <c r="V20" i="96"/>
  <c r="V19" i="96"/>
  <c r="C105" i="96"/>
  <c r="C108" i="96"/>
  <c r="C107" i="96"/>
  <c r="C106" i="96"/>
  <c r="AM9" i="97"/>
  <c r="C9" i="97"/>
  <c r="C11" i="97" s="1"/>
  <c r="C13" i="97" s="1"/>
  <c r="BB7" i="97"/>
  <c r="BC7" i="97" s="1"/>
  <c r="BA7" i="97"/>
  <c r="AZ7" i="97"/>
  <c r="AN7" i="97"/>
  <c r="AN9" i="97" l="1"/>
  <c r="C15" i="97"/>
  <c r="C17" i="97" s="1"/>
  <c r="BC75" i="97"/>
  <c r="BC76" i="97" s="1"/>
  <c r="M74" i="96"/>
  <c r="L74" i="96"/>
  <c r="W19" i="96"/>
  <c r="X19" i="96"/>
  <c r="D108" i="96"/>
  <c r="W20" i="96"/>
  <c r="X20" i="96"/>
  <c r="D106" i="96"/>
  <c r="D107" i="96"/>
  <c r="P48" i="96"/>
  <c r="D48" i="96"/>
  <c r="C50" i="96" l="1"/>
  <c r="C52" i="96" s="1"/>
  <c r="O46" i="96"/>
  <c r="G46" i="96"/>
  <c r="N45" i="96"/>
  <c r="F45" i="96"/>
  <c r="M44" i="96"/>
  <c r="E44" i="96"/>
  <c r="O43" i="96"/>
  <c r="G43" i="96"/>
  <c r="N42" i="96"/>
  <c r="F42" i="96"/>
  <c r="M41" i="96"/>
  <c r="E41" i="96"/>
  <c r="O40" i="96"/>
  <c r="G40" i="96"/>
  <c r="N39" i="96"/>
  <c r="F39" i="96"/>
  <c r="M38" i="96"/>
  <c r="E38" i="96"/>
  <c r="O37" i="96"/>
  <c r="G37" i="96"/>
  <c r="N36" i="96"/>
  <c r="F36" i="96"/>
  <c r="M35" i="96"/>
  <c r="E35" i="96"/>
  <c r="O34" i="96"/>
  <c r="G34" i="96"/>
  <c r="N33" i="96"/>
  <c r="F33" i="96"/>
  <c r="M32" i="96"/>
  <c r="E32" i="96"/>
  <c r="O31" i="96"/>
  <c r="G31" i="96"/>
  <c r="N30" i="96"/>
  <c r="F30" i="96"/>
  <c r="M29" i="96"/>
  <c r="E29" i="96"/>
  <c r="O28" i="96"/>
  <c r="G28" i="96"/>
  <c r="N27" i="96"/>
  <c r="F27" i="96"/>
  <c r="M26" i="96"/>
  <c r="E26" i="96"/>
  <c r="AS7" i="97"/>
  <c r="AT7" i="97" s="1"/>
  <c r="AS9" i="97"/>
  <c r="K71" i="99"/>
  <c r="K70" i="99"/>
  <c r="K69" i="99"/>
  <c r="AS63" i="97" l="1"/>
  <c r="AS71" i="97"/>
  <c r="AS67" i="97"/>
  <c r="AS73" i="97"/>
  <c r="AS69" i="97"/>
  <c r="AS65" i="97"/>
  <c r="AT9" i="97"/>
  <c r="AS43" i="97"/>
  <c r="AS47" i="97"/>
  <c r="AS61" i="97"/>
  <c r="AS59" i="97"/>
  <c r="AS51" i="97"/>
  <c r="AS55" i="97"/>
  <c r="AS53" i="97"/>
  <c r="AS49" i="97"/>
  <c r="AS57" i="97"/>
  <c r="AS45" i="97"/>
  <c r="AS27" i="97"/>
  <c r="AT27" i="97" s="1"/>
  <c r="AS41" i="97"/>
  <c r="AS39" i="97"/>
  <c r="AS33" i="97"/>
  <c r="AT33" i="97" s="1"/>
  <c r="AS23" i="97"/>
  <c r="AS25" i="97"/>
  <c r="AS21" i="97"/>
  <c r="AS29" i="97"/>
  <c r="AS37" i="97"/>
  <c r="AS35" i="97"/>
  <c r="AS19" i="97"/>
  <c r="AS31" i="97"/>
  <c r="AT31" i="97" s="1"/>
  <c r="AS15" i="97"/>
  <c r="AS11" i="97"/>
  <c r="AS17" i="97"/>
  <c r="AS13" i="97"/>
  <c r="G47" i="96"/>
  <c r="F47" i="96"/>
  <c r="O47" i="96"/>
  <c r="N47" i="96" s="1"/>
  <c r="M47" i="96" s="1"/>
  <c r="E47" i="96"/>
  <c r="K68" i="99"/>
  <c r="AT11" i="97" l="1"/>
  <c r="AT13" i="97" s="1"/>
  <c r="C53" i="96"/>
  <c r="K67" i="99"/>
  <c r="K66" i="99"/>
  <c r="K65" i="99"/>
  <c r="K64" i="99"/>
  <c r="K63" i="99"/>
  <c r="K62" i="99"/>
  <c r="K61" i="99"/>
  <c r="K60" i="99"/>
  <c r="K59" i="99"/>
  <c r="K58" i="99"/>
  <c r="K57" i="99"/>
  <c r="K56" i="99"/>
  <c r="K55" i="99"/>
  <c r="K54" i="99"/>
  <c r="K53" i="99"/>
  <c r="AT15" i="97" l="1"/>
  <c r="AT17" i="97" s="1"/>
  <c r="AT19" i="97" s="1"/>
  <c r="AT21" i="97" s="1"/>
  <c r="K52" i="99"/>
  <c r="K51" i="99"/>
  <c r="L50" i="99"/>
  <c r="K50" i="99"/>
  <c r="J50" i="99"/>
  <c r="L49" i="99"/>
  <c r="K49" i="99"/>
  <c r="J49" i="99"/>
  <c r="L48" i="99"/>
  <c r="K48" i="99"/>
  <c r="L47" i="99"/>
  <c r="K47" i="99"/>
  <c r="J47" i="99"/>
  <c r="L46" i="99"/>
  <c r="K46" i="99"/>
  <c r="J46" i="99"/>
  <c r="L45" i="99"/>
  <c r="K45" i="99"/>
  <c r="J45" i="99"/>
  <c r="L44" i="99"/>
  <c r="K44" i="99"/>
  <c r="J44" i="99"/>
  <c r="L43" i="99"/>
  <c r="K43" i="99"/>
  <c r="J43" i="99"/>
  <c r="L42" i="99"/>
  <c r="K42" i="99"/>
  <c r="J42" i="99"/>
  <c r="L41" i="99"/>
  <c r="K41" i="99"/>
  <c r="J41" i="99"/>
  <c r="L40" i="99"/>
  <c r="K40" i="99"/>
  <c r="J40" i="99"/>
  <c r="L39" i="99"/>
  <c r="K39" i="99"/>
  <c r="J39" i="99"/>
  <c r="L38" i="99"/>
  <c r="K38" i="99"/>
  <c r="J38" i="99"/>
  <c r="L37" i="99"/>
  <c r="K37" i="99"/>
  <c r="J37" i="99"/>
  <c r="L36" i="99"/>
  <c r="K36" i="99"/>
  <c r="J36" i="99"/>
  <c r="L35" i="99"/>
  <c r="K35" i="99"/>
  <c r="J35" i="99"/>
  <c r="L34" i="99"/>
  <c r="K34" i="99"/>
  <c r="J34" i="99"/>
  <c r="L33" i="99"/>
  <c r="K33" i="99"/>
  <c r="J33" i="99"/>
  <c r="L32" i="99"/>
  <c r="K32" i="99"/>
  <c r="J32" i="99"/>
  <c r="L31" i="99"/>
  <c r="K31" i="99"/>
  <c r="J31" i="99"/>
  <c r="L30" i="99"/>
  <c r="K30" i="99"/>
  <c r="J30" i="99"/>
  <c r="L29" i="99"/>
  <c r="K29" i="99"/>
  <c r="J29" i="99"/>
  <c r="L28" i="99"/>
  <c r="K28" i="99"/>
  <c r="J28" i="99"/>
  <c r="L27" i="99"/>
  <c r="K27" i="99"/>
  <c r="J27" i="99"/>
  <c r="L26" i="99"/>
  <c r="K26" i="99"/>
  <c r="J26" i="99"/>
  <c r="L25" i="99"/>
  <c r="K25" i="99"/>
  <c r="J25" i="99"/>
  <c r="L24" i="99"/>
  <c r="K24" i="99"/>
  <c r="J24" i="99"/>
  <c r="L23" i="99"/>
  <c r="K23" i="99"/>
  <c r="J23" i="99"/>
  <c r="L22" i="99"/>
  <c r="K22" i="99"/>
  <c r="J22" i="99"/>
  <c r="L21" i="99"/>
  <c r="K21" i="99"/>
  <c r="J21" i="99"/>
  <c r="L20" i="99"/>
  <c r="K20" i="99"/>
  <c r="J20" i="99"/>
  <c r="L19" i="99"/>
  <c r="K19" i="99"/>
  <c r="J19" i="99"/>
  <c r="L18" i="99"/>
  <c r="K18" i="99"/>
  <c r="J18" i="99"/>
  <c r="L17" i="99"/>
  <c r="K17" i="99"/>
  <c r="J17" i="99"/>
  <c r="L16" i="99"/>
  <c r="K16" i="99"/>
  <c r="J16" i="99"/>
  <c r="L15" i="99"/>
  <c r="K15" i="99"/>
  <c r="J15" i="99"/>
  <c r="L14" i="99"/>
  <c r="K14" i="99"/>
  <c r="J14" i="99"/>
  <c r="L13" i="99"/>
  <c r="K13" i="99"/>
  <c r="J13" i="99"/>
  <c r="L12" i="99"/>
  <c r="K12" i="99"/>
  <c r="J12" i="99"/>
  <c r="L11" i="99"/>
  <c r="K11" i="99"/>
  <c r="J11" i="99"/>
  <c r="L10" i="99"/>
  <c r="K10" i="99"/>
  <c r="J10" i="99"/>
  <c r="L9" i="99"/>
  <c r="K9" i="99"/>
  <c r="J9" i="99"/>
  <c r="C9" i="99"/>
  <c r="L8" i="99"/>
  <c r="K8" i="99"/>
  <c r="J8" i="99"/>
  <c r="C8" i="99"/>
  <c r="AT23" i="97" l="1"/>
  <c r="AT25" i="97" s="1"/>
  <c r="M22" i="99"/>
  <c r="N22" i="99" s="1"/>
  <c r="M85" i="99"/>
  <c r="N85" i="99" s="1"/>
  <c r="O85" i="99" s="1"/>
  <c r="M78" i="99"/>
  <c r="N78" i="99" s="1"/>
  <c r="O78" i="99" s="1"/>
  <c r="M21" i="99"/>
  <c r="N21" i="99" s="1"/>
  <c r="M77" i="99"/>
  <c r="N77" i="99" s="1"/>
  <c r="O77" i="99" s="1"/>
  <c r="M84" i="99"/>
  <c r="N84" i="99" s="1"/>
  <c r="O84" i="99" s="1"/>
  <c r="M8" i="99"/>
  <c r="M36" i="99"/>
  <c r="N36" i="99" s="1"/>
  <c r="M49" i="99"/>
  <c r="N49" i="99" s="1"/>
  <c r="M29" i="99"/>
  <c r="N29" i="99" s="1"/>
  <c r="M50" i="99"/>
  <c r="N50" i="99" s="1"/>
  <c r="M56" i="99"/>
  <c r="N56" i="99" s="1"/>
  <c r="M63" i="99"/>
  <c r="M42" i="99"/>
  <c r="N42" i="99" s="1"/>
  <c r="M71" i="99"/>
  <c r="N71" i="99" s="1"/>
  <c r="M64" i="99"/>
  <c r="N64" i="99" s="1"/>
  <c r="M57" i="99"/>
  <c r="N57" i="99" s="1"/>
  <c r="M14" i="99"/>
  <c r="N14" i="99" s="1"/>
  <c r="M43" i="99"/>
  <c r="N43" i="99" s="1"/>
  <c r="M35" i="99"/>
  <c r="N35" i="99" s="1"/>
  <c r="M28" i="99"/>
  <c r="N28" i="99" s="1"/>
  <c r="M15" i="99"/>
  <c r="N15" i="99" s="1"/>
  <c r="M7" i="99"/>
  <c r="L7" i="99"/>
  <c r="K7" i="99"/>
  <c r="J7" i="99"/>
  <c r="C7" i="99"/>
  <c r="L6" i="99"/>
  <c r="K6" i="99"/>
  <c r="J6" i="99"/>
  <c r="C6" i="99"/>
  <c r="L5" i="99"/>
  <c r="K5" i="99"/>
  <c r="J5" i="99"/>
  <c r="C5" i="99"/>
  <c r="L4" i="99"/>
  <c r="K4" i="99"/>
  <c r="C4" i="99"/>
  <c r="L3" i="99"/>
  <c r="K3" i="99"/>
  <c r="J3" i="99"/>
  <c r="C3" i="99"/>
  <c r="L2" i="99"/>
  <c r="K2" i="99"/>
  <c r="J2" i="99"/>
  <c r="M72" i="99" l="1"/>
  <c r="N72" i="99" s="1"/>
  <c r="O72" i="99" s="1"/>
  <c r="M79" i="99"/>
  <c r="N79" i="99" s="1"/>
  <c r="O79" i="99" s="1"/>
  <c r="M4" i="99"/>
  <c r="M74" i="99"/>
  <c r="N74" i="99" s="1"/>
  <c r="O74" i="99" s="1"/>
  <c r="M81" i="99"/>
  <c r="N81" i="99" s="1"/>
  <c r="O81" i="99" s="1"/>
  <c r="P77" i="99"/>
  <c r="Q77" i="99"/>
  <c r="Q84" i="99"/>
  <c r="P84" i="99"/>
  <c r="M3" i="99"/>
  <c r="N3" i="99" s="1"/>
  <c r="O3" i="99" s="1"/>
  <c r="P3" i="99" s="1"/>
  <c r="M73" i="99"/>
  <c r="N73" i="99" s="1"/>
  <c r="O73" i="99" s="1"/>
  <c r="M80" i="99"/>
  <c r="N80" i="99" s="1"/>
  <c r="O80" i="99" s="1"/>
  <c r="M82" i="99"/>
  <c r="N82" i="99" s="1"/>
  <c r="O82" i="99" s="1"/>
  <c r="M75" i="99"/>
  <c r="N75" i="99" s="1"/>
  <c r="O75" i="99" s="1"/>
  <c r="P85" i="99"/>
  <c r="Q85" i="99"/>
  <c r="P78" i="99"/>
  <c r="Q78" i="99"/>
  <c r="M6" i="99"/>
  <c r="N6" i="99" s="1"/>
  <c r="O6" i="99" s="1"/>
  <c r="P6" i="99" s="1"/>
  <c r="M83" i="99"/>
  <c r="N83" i="99" s="1"/>
  <c r="O83" i="99" s="1"/>
  <c r="M76" i="99"/>
  <c r="N76" i="99" s="1"/>
  <c r="O76" i="99" s="1"/>
  <c r="M68" i="99"/>
  <c r="N68" i="99" s="1"/>
  <c r="O68" i="99" s="1"/>
  <c r="Q68" i="99" s="1"/>
  <c r="M61" i="99"/>
  <c r="N61" i="99" s="1"/>
  <c r="O61" i="99" s="1"/>
  <c r="P61" i="99" s="1"/>
  <c r="M54" i="99"/>
  <c r="N54" i="99" s="1"/>
  <c r="O54" i="99" s="1"/>
  <c r="P54" i="99" s="1"/>
  <c r="M19" i="99"/>
  <c r="N19" i="99" s="1"/>
  <c r="O19" i="99" s="1"/>
  <c r="P19" i="99" s="1"/>
  <c r="M47" i="99"/>
  <c r="N47" i="99" s="1"/>
  <c r="O47" i="99" s="1"/>
  <c r="P47" i="99" s="1"/>
  <c r="M26" i="99"/>
  <c r="N26" i="99" s="1"/>
  <c r="O26" i="99" s="1"/>
  <c r="P26" i="99" s="1"/>
  <c r="M40" i="99"/>
  <c r="N40" i="99" s="1"/>
  <c r="O40" i="99" s="1"/>
  <c r="Q40" i="99" s="1"/>
  <c r="M12" i="99"/>
  <c r="N12" i="99" s="1"/>
  <c r="O12" i="99" s="1"/>
  <c r="P12" i="99" s="1"/>
  <c r="M62" i="99"/>
  <c r="N62" i="99" s="1"/>
  <c r="O62" i="99" s="1"/>
  <c r="P62" i="99" s="1"/>
  <c r="M55" i="99"/>
  <c r="N55" i="99" s="1"/>
  <c r="O55" i="99" s="1"/>
  <c r="P55" i="99" s="1"/>
  <c r="M48" i="99"/>
  <c r="N48" i="99" s="1"/>
  <c r="O48" i="99" s="1"/>
  <c r="P48" i="99" s="1"/>
  <c r="M34" i="99"/>
  <c r="N34" i="99" s="1"/>
  <c r="O34" i="99" s="1"/>
  <c r="P34" i="99" s="1"/>
  <c r="M27" i="99"/>
  <c r="N27" i="99" s="1"/>
  <c r="O27" i="99" s="1"/>
  <c r="P27" i="99" s="1"/>
  <c r="M13" i="99"/>
  <c r="N13" i="99" s="1"/>
  <c r="O13" i="99" s="1"/>
  <c r="P13" i="99" s="1"/>
  <c r="M41" i="99"/>
  <c r="N41" i="99" s="1"/>
  <c r="O41" i="99" s="1"/>
  <c r="P41" i="99" s="1"/>
  <c r="M20" i="99"/>
  <c r="N20" i="99" s="1"/>
  <c r="O20" i="99" s="1"/>
  <c r="Q20" i="99" s="1"/>
  <c r="N7" i="99"/>
  <c r="O7" i="99" s="1"/>
  <c r="Q7" i="99" s="1"/>
  <c r="M5" i="99"/>
  <c r="N5" i="99" s="1"/>
  <c r="O5" i="99" s="1"/>
  <c r="Q5" i="99" s="1"/>
  <c r="M65" i="99"/>
  <c r="N65" i="99" s="1"/>
  <c r="O65" i="99" s="1"/>
  <c r="P65" i="99" s="1"/>
  <c r="M58" i="99"/>
  <c r="N58" i="99" s="1"/>
  <c r="O58" i="99" s="1"/>
  <c r="P58" i="99" s="1"/>
  <c r="M44" i="99"/>
  <c r="N44" i="99" s="1"/>
  <c r="O44" i="99" s="1"/>
  <c r="Q44" i="99" s="1"/>
  <c r="M23" i="99"/>
  <c r="N23" i="99" s="1"/>
  <c r="O23" i="99" s="1"/>
  <c r="P23" i="99" s="1"/>
  <c r="M51" i="99"/>
  <c r="N51" i="99" s="1"/>
  <c r="O51" i="99" s="1"/>
  <c r="Q51" i="99" s="1"/>
  <c r="M30" i="99"/>
  <c r="N30" i="99" s="1"/>
  <c r="O30" i="99" s="1"/>
  <c r="P30" i="99" s="1"/>
  <c r="M37" i="99"/>
  <c r="N37" i="99" s="1"/>
  <c r="O37" i="99" s="1"/>
  <c r="P37" i="99" s="1"/>
  <c r="M16" i="99"/>
  <c r="N16" i="99" s="1"/>
  <c r="O16" i="99" s="1"/>
  <c r="Q16" i="99" s="1"/>
  <c r="M9" i="99"/>
  <c r="N9" i="99" s="1"/>
  <c r="O9" i="99" s="1"/>
  <c r="P9" i="99" s="1"/>
  <c r="M66" i="99"/>
  <c r="N66" i="99" s="1"/>
  <c r="O66" i="99" s="1"/>
  <c r="P66" i="99" s="1"/>
  <c r="M59" i="99"/>
  <c r="N59" i="99" s="1"/>
  <c r="O59" i="99" s="1"/>
  <c r="P59" i="99" s="1"/>
  <c r="M10" i="99"/>
  <c r="N10" i="99" s="1"/>
  <c r="O10" i="99" s="1"/>
  <c r="Q10" i="99" s="1"/>
  <c r="M52" i="99"/>
  <c r="N52" i="99" s="1"/>
  <c r="O52" i="99" s="1"/>
  <c r="P52" i="99" s="1"/>
  <c r="M38" i="99"/>
  <c r="N38" i="99" s="1"/>
  <c r="O38" i="99" s="1"/>
  <c r="P38" i="99" s="1"/>
  <c r="M31" i="99"/>
  <c r="N31" i="99" s="1"/>
  <c r="O31" i="99" s="1"/>
  <c r="P31" i="99" s="1"/>
  <c r="M17" i="99"/>
  <c r="N17" i="99" s="1"/>
  <c r="O17" i="99" s="1"/>
  <c r="Q17" i="99" s="1"/>
  <c r="M45" i="99"/>
  <c r="N45" i="99" s="1"/>
  <c r="O45" i="99" s="1"/>
  <c r="P45" i="99" s="1"/>
  <c r="M24" i="99"/>
  <c r="N24" i="99" s="1"/>
  <c r="O24" i="99" s="1"/>
  <c r="P24" i="99" s="1"/>
  <c r="M67" i="99"/>
  <c r="N67" i="99" s="1"/>
  <c r="O67" i="99" s="1"/>
  <c r="P67" i="99" s="1"/>
  <c r="M53" i="99"/>
  <c r="P53" i="99" s="1"/>
  <c r="M60" i="99"/>
  <c r="N60" i="99" s="1"/>
  <c r="O60" i="99" s="1"/>
  <c r="P60" i="99" s="1"/>
  <c r="M39" i="99"/>
  <c r="N39" i="99" s="1"/>
  <c r="P39" i="99" s="1"/>
  <c r="M18" i="99"/>
  <c r="N18" i="99" s="1"/>
  <c r="O18" i="99" s="1"/>
  <c r="P18" i="99" s="1"/>
  <c r="M46" i="99"/>
  <c r="N46" i="99" s="1"/>
  <c r="O46" i="99" s="1"/>
  <c r="Q46" i="99" s="1"/>
  <c r="M25" i="99"/>
  <c r="N25" i="99" s="1"/>
  <c r="O25" i="99" s="1"/>
  <c r="P25" i="99" s="1"/>
  <c r="M11" i="99"/>
  <c r="N11" i="99" s="1"/>
  <c r="O11" i="99" s="1"/>
  <c r="P11" i="99" s="1"/>
  <c r="M2" i="99"/>
  <c r="N2" i="99" s="1"/>
  <c r="O2" i="99" s="1"/>
  <c r="P2" i="99" s="1"/>
  <c r="M32" i="99"/>
  <c r="N32" i="99" s="1"/>
  <c r="O32" i="99" s="1"/>
  <c r="P32" i="99" s="1"/>
  <c r="M33" i="99"/>
  <c r="N33" i="99" s="1"/>
  <c r="O33" i="99" s="1"/>
  <c r="P33" i="99" s="1"/>
  <c r="O22" i="99"/>
  <c r="P22" i="99" s="1"/>
  <c r="O42" i="99"/>
  <c r="P42" i="99" s="1"/>
  <c r="O14" i="99"/>
  <c r="P14" i="99" s="1"/>
  <c r="O43" i="99"/>
  <c r="P43" i="99" s="1"/>
  <c r="O35" i="99"/>
  <c r="P35" i="99" s="1"/>
  <c r="O15" i="99"/>
  <c r="P15" i="99" s="1"/>
  <c r="O28" i="99"/>
  <c r="Q28" i="99" s="1"/>
  <c r="N8" i="99"/>
  <c r="O8" i="99" s="1"/>
  <c r="P8" i="99" s="1"/>
  <c r="O36" i="99"/>
  <c r="Q36" i="99" s="1"/>
  <c r="O49" i="99"/>
  <c r="P49" i="99" s="1"/>
  <c r="O50" i="99"/>
  <c r="Q50" i="99" s="1"/>
  <c r="O29" i="99"/>
  <c r="P29" i="99" s="1"/>
  <c r="O21" i="99"/>
  <c r="P21" i="99" s="1"/>
  <c r="O56" i="99"/>
  <c r="P56" i="99" s="1"/>
  <c r="O57" i="99"/>
  <c r="P57" i="99" s="1"/>
  <c r="N63" i="99"/>
  <c r="O63" i="99" s="1"/>
  <c r="Q63" i="99" s="1"/>
  <c r="O64" i="99"/>
  <c r="P64" i="99" s="1"/>
  <c r="M69" i="99"/>
  <c r="N69" i="99" s="1"/>
  <c r="O69" i="99" s="1"/>
  <c r="P69" i="99" s="1"/>
  <c r="M70" i="99"/>
  <c r="N70" i="99" s="1"/>
  <c r="O70" i="99" s="1"/>
  <c r="P70" i="99" s="1"/>
  <c r="O71" i="99"/>
  <c r="Q71" i="99" s="1"/>
  <c r="C54" i="96"/>
  <c r="C55" i="96"/>
  <c r="AT29" i="97" l="1"/>
  <c r="P79" i="99"/>
  <c r="Q79" i="99"/>
  <c r="Q83" i="99"/>
  <c r="P83" i="99"/>
  <c r="Q80" i="99"/>
  <c r="P80" i="99"/>
  <c r="Q74" i="99"/>
  <c r="P74" i="99"/>
  <c r="Q76" i="99"/>
  <c r="P76" i="99"/>
  <c r="P82" i="99"/>
  <c r="Q82" i="99"/>
  <c r="Q81" i="99"/>
  <c r="P81" i="99"/>
  <c r="Q75" i="99"/>
  <c r="P75" i="99"/>
  <c r="Q73" i="99"/>
  <c r="P73" i="99"/>
  <c r="Q72" i="99"/>
  <c r="P72" i="99"/>
  <c r="D53" i="96"/>
  <c r="D55" i="96"/>
  <c r="D54" i="96"/>
  <c r="P46" i="99"/>
  <c r="Q59" i="99"/>
  <c r="P16" i="99"/>
  <c r="P36" i="99"/>
  <c r="P28" i="99"/>
  <c r="Q33" i="99"/>
  <c r="P44" i="99"/>
  <c r="P51" i="99"/>
  <c r="P17" i="99"/>
  <c r="P68" i="99"/>
  <c r="Q21" i="99"/>
  <c r="Q43" i="99"/>
  <c r="P10" i="99"/>
  <c r="Q23" i="99"/>
  <c r="Q34" i="99"/>
  <c r="Q9" i="99"/>
  <c r="Q2" i="99"/>
  <c r="Q69" i="99"/>
  <c r="Q67" i="99"/>
  <c r="Q60" i="99"/>
  <c r="Q49" i="99"/>
  <c r="Q14" i="99"/>
  <c r="Q26" i="99"/>
  <c r="Q54" i="99"/>
  <c r="Q52" i="99"/>
  <c r="Q29" i="99"/>
  <c r="Q38" i="99"/>
  <c r="Q25" i="99"/>
  <c r="Q6" i="99"/>
  <c r="Q62" i="99"/>
  <c r="Q58" i="99"/>
  <c r="P7" i="99"/>
  <c r="Q47" i="99"/>
  <c r="P63" i="99"/>
  <c r="Q56" i="99"/>
  <c r="Q12" i="99"/>
  <c r="Q32" i="99"/>
  <c r="Q15" i="99"/>
  <c r="Q19" i="99"/>
  <c r="Q27" i="99"/>
  <c r="P71" i="99"/>
  <c r="Q66" i="99"/>
  <c r="Q61" i="99"/>
  <c r="Q64" i="99"/>
  <c r="P50" i="99"/>
  <c r="Q48" i="99"/>
  <c r="Q22" i="99"/>
  <c r="Q45" i="99"/>
  <c r="P5" i="99"/>
  <c r="Q53" i="99"/>
  <c r="Q65" i="99"/>
  <c r="Q42" i="99"/>
  <c r="Q70" i="99"/>
  <c r="Q11" i="99"/>
  <c r="P40" i="99"/>
  <c r="Q3" i="99"/>
  <c r="P20" i="99"/>
  <c r="Q31" i="99"/>
  <c r="Q13" i="99"/>
  <c r="Q55" i="99"/>
  <c r="Q24" i="99"/>
  <c r="Q8" i="99"/>
  <c r="Q18" i="99"/>
  <c r="Q30" i="99"/>
  <c r="Q57" i="99"/>
  <c r="Q39" i="99"/>
  <c r="Q35" i="99"/>
  <c r="Q37" i="99"/>
  <c r="Q41" i="99"/>
  <c r="AT35" i="97" l="1"/>
  <c r="AT37" i="97" s="1"/>
  <c r="AT39" i="97" s="1"/>
  <c r="AT41" i="97" s="1"/>
  <c r="AT43" i="97" l="1"/>
  <c r="AT45" i="97" s="1"/>
  <c r="AT51" i="97"/>
  <c r="AT53" i="97" s="1"/>
  <c r="AT47" i="97" l="1"/>
  <c r="AT49" i="97" s="1"/>
  <c r="AT55" i="97" l="1"/>
  <c r="AT57" i="97" s="1"/>
  <c r="AT59" i="97" s="1"/>
  <c r="AT71" i="97"/>
  <c r="AT61" i="97" l="1"/>
  <c r="AT63" i="97"/>
  <c r="AT65" i="97" l="1"/>
  <c r="AT67" i="97" s="1"/>
  <c r="AT69" i="97" s="1"/>
  <c r="AT73" i="97" s="1"/>
</calcChain>
</file>

<file path=xl/sharedStrings.xml><?xml version="1.0" encoding="utf-8"?>
<sst xmlns="http://schemas.openxmlformats.org/spreadsheetml/2006/main" count="565" uniqueCount="160">
  <si>
    <t>2/0</t>
  </si>
  <si>
    <t>N I</t>
  </si>
  <si>
    <t>N F</t>
  </si>
  <si>
    <t>kVA</t>
  </si>
  <si>
    <t>kVA-m</t>
  </si>
  <si>
    <t>Tramo</t>
  </si>
  <si>
    <t>Acumulada</t>
  </si>
  <si>
    <t>A</t>
  </si>
  <si>
    <t>1/0</t>
  </si>
  <si>
    <t>3F</t>
  </si>
  <si>
    <t>2F</t>
  </si>
  <si>
    <t>1F</t>
  </si>
  <si>
    <t>4/0</t>
  </si>
  <si>
    <t>B</t>
  </si>
  <si>
    <t>C</t>
  </si>
  <si>
    <t>Constante K en % / kVA-m</t>
  </si>
  <si>
    <t>8-3F</t>
  </si>
  <si>
    <t>6-3F</t>
  </si>
  <si>
    <t>4-3F</t>
  </si>
  <si>
    <t>2-3F</t>
  </si>
  <si>
    <t>1/0-3F</t>
  </si>
  <si>
    <t>2/0-3F</t>
  </si>
  <si>
    <t>4/0-3F</t>
  </si>
  <si>
    <t>AWG</t>
  </si>
  <si>
    <t>Calibre Cobre</t>
  </si>
  <si>
    <t>CARGA</t>
  </si>
  <si>
    <t>MOMENTO</t>
  </si>
  <si>
    <t>FASES</t>
  </si>
  <si>
    <t>TOTAL (VA)</t>
  </si>
  <si>
    <t>VA</t>
  </si>
  <si>
    <t>PRTC</t>
  </si>
  <si>
    <t>I (A)</t>
  </si>
  <si>
    <t>PRTC
(A)</t>
  </si>
  <si>
    <t>S (VA)</t>
  </si>
  <si>
    <t>DESCRIPCION DEL CIRCUITO</t>
  </si>
  <si>
    <t>TOMADO DEL BOLETIN TECNICO CENTELSA MARZO 2005. PG. 4/16 TABLA 2</t>
  </si>
  <si>
    <t>CABLE (AWG)</t>
  </si>
  <si>
    <t>R  (Ω/km)</t>
  </si>
  <si>
    <t>COSΦ</t>
  </si>
  <si>
    <t>X  (Ω/km)</t>
  </si>
  <si>
    <t>SENΦ</t>
  </si>
  <si>
    <t>K 3Φ</t>
  </si>
  <si>
    <t>K 2Φ</t>
  </si>
  <si>
    <t>K 1Φ</t>
  </si>
  <si>
    <t>V FASE</t>
  </si>
  <si>
    <t>FP = COSΦ</t>
  </si>
  <si>
    <t>V LINEA</t>
  </si>
  <si>
    <t>CABLE</t>
  </si>
  <si>
    <t>PVC</t>
  </si>
  <si>
    <t>TUBERIA</t>
  </si>
  <si>
    <t>ALUMINIO</t>
  </si>
  <si>
    <t>ACERO</t>
  </si>
  <si>
    <t>CALIBRE - # FASES</t>
  </si>
  <si>
    <t>K REG</t>
  </si>
  <si>
    <t>CONDUCTOR</t>
  </si>
  <si>
    <t>NEUTRO</t>
  </si>
  <si>
    <t>TIERRA</t>
  </si>
  <si>
    <t>CANTIDADES</t>
  </si>
  <si>
    <t>NÚMERO DE CONDUCTORES POR TRAMO</t>
  </si>
  <si>
    <t>LONGITUD DE CONDUCTOR POR TRAMO (ML)</t>
  </si>
  <si>
    <t>12AWG</t>
  </si>
  <si>
    <t>10AWG</t>
  </si>
  <si>
    <t>8AWG</t>
  </si>
  <si>
    <t>6AWG</t>
  </si>
  <si>
    <t>4AWG</t>
  </si>
  <si>
    <t>2AWG</t>
  </si>
  <si>
    <t>2/0AWG</t>
  </si>
  <si>
    <t>4/0AWG</t>
  </si>
  <si>
    <t>250KCM</t>
  </si>
  <si>
    <t>350KCM</t>
  </si>
  <si>
    <t>NEUTROS</t>
  </si>
  <si>
    <t>TIERRAS</t>
  </si>
  <si>
    <t>ML</t>
  </si>
  <si>
    <t>IL (A) +25%</t>
  </si>
  <si>
    <t>IN (A) NTC2050</t>
  </si>
  <si>
    <t>TOTAL</t>
  </si>
  <si>
    <t>RESERVA</t>
  </si>
  <si>
    <t>CALIBRE FASE</t>
  </si>
  <si>
    <t>CALIBRE NEUTRO</t>
  </si>
  <si>
    <t>CALIBRE TIERRA</t>
  </si>
  <si>
    <t>CUADRO DISTRIBUCION DE CARGAS TABLERO DE DISTRIBUCIÓN</t>
  </si>
  <si>
    <t>CUADRO DE CARGAS CIRCUITOS ()</t>
  </si>
  <si>
    <t xml:space="preserve">CALCULOS DE REGULACIÓN </t>
  </si>
  <si>
    <t>TOTAL +10%</t>
  </si>
  <si>
    <t>CANTIDAD DE CABLES</t>
  </si>
  <si>
    <t>TOTALIZADOR 3X     A</t>
  </si>
  <si>
    <t>CORRIENTE NOMINAL (A)</t>
  </si>
  <si>
    <t>CARGA TOTAL DEL TABLERO (VA)</t>
  </si>
  <si>
    <t>Z eficaz (Ω/m)</t>
  </si>
  <si>
    <t>S Fase A (VA)</t>
  </si>
  <si>
    <t>S Fase B (VA)</t>
  </si>
  <si>
    <t>S Fase C (VA)</t>
  </si>
  <si>
    <t>FASE</t>
  </si>
  <si>
    <t>TENSIÓN NOMINAL (V)</t>
  </si>
  <si>
    <t>350-3F</t>
  </si>
  <si>
    <r>
      <t>FASES
 (</t>
    </r>
    <r>
      <rPr>
        <b/>
        <sz val="8"/>
        <rFont val="Calibri"/>
        <family val="2"/>
      </rPr>
      <t>φ</t>
    </r>
    <r>
      <rPr>
        <b/>
        <sz val="8"/>
        <rFont val="Arial"/>
        <family val="2"/>
      </rPr>
      <t>)</t>
    </r>
  </si>
  <si>
    <t>VOLTAJE
(V)</t>
  </si>
  <si>
    <t>TUBERÍA</t>
  </si>
  <si>
    <t>metros</t>
  </si>
  <si>
    <t>3x400 A</t>
  </si>
  <si>
    <t>250-3F</t>
  </si>
  <si>
    <t>500-3F</t>
  </si>
  <si>
    <t>De Corte</t>
  </si>
  <si>
    <t>Recepciòn de muestras</t>
  </si>
  <si>
    <t>Prensa y compresión</t>
  </si>
  <si>
    <t>Cuarto Eléctrico</t>
  </si>
  <si>
    <t>Pesaje</t>
  </si>
  <si>
    <t>Lavado</t>
  </si>
  <si>
    <t>Secado</t>
  </si>
  <si>
    <t>Fotografia</t>
  </si>
  <si>
    <t>Equipo XRF</t>
  </si>
  <si>
    <t>Lab 1</t>
  </si>
  <si>
    <t>Lab 2</t>
  </si>
  <si>
    <t>Baños</t>
  </si>
  <si>
    <t>Servicios</t>
  </si>
  <si>
    <t>UPS</t>
  </si>
  <si>
    <t>4"</t>
  </si>
  <si>
    <t>Trafo 1</t>
  </si>
  <si>
    <t>Trafo 2</t>
  </si>
  <si>
    <t>Trafo 225000</t>
  </si>
  <si>
    <t>Trafo 75000</t>
  </si>
  <si>
    <t>3x800 A</t>
  </si>
  <si>
    <t>3x250 A</t>
  </si>
  <si>
    <t>Led (iluminación exterior)</t>
  </si>
  <si>
    <t>2x500</t>
  </si>
  <si>
    <t>m</t>
  </si>
  <si>
    <t>CAIDA DE TENSION %</t>
  </si>
  <si>
    <t>PVC Aluminio (Regulación codensa)</t>
  </si>
  <si>
    <t>1-3F</t>
  </si>
  <si>
    <t>400-3F</t>
  </si>
  <si>
    <t>CIRCUITO E</t>
  </si>
  <si>
    <t>8-1F</t>
  </si>
  <si>
    <t>6-1F</t>
  </si>
  <si>
    <t>4-1F</t>
  </si>
  <si>
    <t>2-1F</t>
  </si>
  <si>
    <t>1-1F</t>
  </si>
  <si>
    <t>1/0-1F</t>
  </si>
  <si>
    <t>2/0-1F</t>
  </si>
  <si>
    <t>4/0-1F</t>
  </si>
  <si>
    <t>250-1F</t>
  </si>
  <si>
    <t>350-1F</t>
  </si>
  <si>
    <t>400-1F</t>
  </si>
  <si>
    <t>500-1F</t>
  </si>
  <si>
    <t>208/120 
Aluminio 3 fases
4 hilos</t>
  </si>
  <si>
    <t>1,46878E-02 4</t>
  </si>
  <si>
    <t>220 
Aluminio 1 fase
2 hilos</t>
  </si>
  <si>
    <t>Fuente: constantes
 de regulación BT - MT codensa.</t>
  </si>
  <si>
    <t>8-2F</t>
  </si>
  <si>
    <t>6-2F</t>
  </si>
  <si>
    <t>4-2F</t>
  </si>
  <si>
    <t>2-2F</t>
  </si>
  <si>
    <t>1-2F</t>
  </si>
  <si>
    <t>1/0-2F</t>
  </si>
  <si>
    <t>2/0-2F</t>
  </si>
  <si>
    <t>4/0-2F</t>
  </si>
  <si>
    <t>250-2F</t>
  </si>
  <si>
    <t>350-2F</t>
  </si>
  <si>
    <t>400-2F</t>
  </si>
  <si>
    <t>500-2F</t>
  </si>
  <si>
    <t>kcmil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</si>
</sst>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P_t_s_-;\-* #,##0.00\ _P_t_s_-;_-* &quot;-&quot;??\ _P_t_s_-;_-@_-"/>
    <numFmt numFmtId="165" formatCode="0.0000"/>
    <numFmt numFmtId="166" formatCode="0.000"/>
    <numFmt numFmtId="167" formatCode="0.0"/>
    <numFmt numFmtId="168" formatCode="0.000000000"/>
    <numFmt numFmtId="169" formatCode="0.000E+00"/>
    <numFmt numFmtId="170" formatCode="0.00000E+00"/>
    <numFmt numFmtId="171" formatCode="0.0%"/>
    <numFmt numFmtId="172" formatCode="#\V\A"/>
    <numFmt numFmtId="173" formatCode="#.0\V\A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b/>
      <sz val="8"/>
      <color rgb="FF0070C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name val="Calibri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91">
    <xf numFmtId="0" fontId="0" fillId="0" borderId="0" xfId="0"/>
    <xf numFmtId="0" fontId="9" fillId="0" borderId="0" xfId="3" applyFont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0" fontId="12" fillId="4" borderId="1" xfId="1" applyNumberFormat="1" applyFont="1" applyFill="1" applyBorder="1" applyAlignment="1">
      <alignment horizontal="center" vertical="center"/>
    </xf>
    <xf numFmtId="168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69" fontId="9" fillId="0" borderId="0" xfId="0" applyNumberFormat="1" applyFont="1"/>
    <xf numFmtId="170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9" fontId="9" fillId="4" borderId="1" xfId="2" applyNumberFormat="1" applyFont="1" applyFill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" fontId="9" fillId="0" borderId="1" xfId="2" applyNumberFormat="1" applyFont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/>
    </xf>
    <xf numFmtId="168" fontId="10" fillId="5" borderId="1" xfId="0" applyNumberFormat="1" applyFont="1" applyFill="1" applyBorder="1" applyAlignment="1">
      <alignment horizontal="center"/>
    </xf>
    <xf numFmtId="1" fontId="9" fillId="6" borderId="1" xfId="7" applyNumberFormat="1" applyFont="1" applyFill="1" applyBorder="1" applyAlignment="1">
      <alignment horizontal="center" vertical="center"/>
    </xf>
    <xf numFmtId="0" fontId="9" fillId="6" borderId="1" xfId="7" applyFont="1" applyFill="1" applyBorder="1" applyAlignment="1">
      <alignment horizontal="center" vertical="center"/>
    </xf>
    <xf numFmtId="1" fontId="9" fillId="6" borderId="1" xfId="3" applyNumberFormat="1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0" xfId="15" applyFont="1" applyAlignment="1">
      <alignment vertical="center"/>
    </xf>
    <xf numFmtId="0" fontId="9" fillId="0" borderId="0" xfId="15" applyFont="1" applyAlignment="1">
      <alignment horizontal="center" vertical="center" wrapText="1"/>
    </xf>
    <xf numFmtId="0" fontId="9" fillId="0" borderId="1" xfId="51" applyFont="1" applyBorder="1" applyAlignment="1">
      <alignment horizontal="center" vertical="center"/>
    </xf>
    <xf numFmtId="172" fontId="10" fillId="0" borderId="1" xfId="51" applyNumberFormat="1" applyFont="1" applyBorder="1" applyAlignment="1">
      <alignment horizontal="center" vertical="center" wrapText="1"/>
    </xf>
    <xf numFmtId="167" fontId="9" fillId="0" borderId="1" xfId="55" applyNumberFormat="1" applyFont="1" applyBorder="1" applyAlignment="1">
      <alignment horizontal="center" vertical="center"/>
    </xf>
    <xf numFmtId="1" fontId="9" fillId="0" borderId="1" xfId="3" applyNumberFormat="1" applyFont="1" applyBorder="1" applyAlignment="1">
      <alignment horizontal="center" vertical="center"/>
    </xf>
    <xf numFmtId="173" fontId="10" fillId="0" borderId="1" xfId="51" applyNumberFormat="1" applyFont="1" applyBorder="1" applyAlignment="1">
      <alignment horizontal="center" vertical="center" wrapText="1"/>
    </xf>
    <xf numFmtId="0" fontId="10" fillId="0" borderId="0" xfId="3" applyFont="1" applyAlignment="1">
      <alignment vertical="center"/>
    </xf>
    <xf numFmtId="167" fontId="9" fillId="0" borderId="1" xfId="51" applyNumberFormat="1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0" fontId="9" fillId="0" borderId="1" xfId="51" applyFont="1" applyBorder="1" applyAlignment="1">
      <alignment vertical="center" wrapText="1"/>
    </xf>
    <xf numFmtId="0" fontId="9" fillId="0" borderId="1" xfId="55" applyFont="1" applyBorder="1" applyAlignment="1">
      <alignment horizontal="left" vertical="center" wrapText="1"/>
    </xf>
    <xf numFmtId="0" fontId="9" fillId="0" borderId="0" xfId="3" applyFont="1" applyAlignment="1">
      <alignment vertical="center"/>
    </xf>
    <xf numFmtId="2" fontId="9" fillId="0" borderId="1" xfId="51" applyNumberFormat="1" applyFont="1" applyBorder="1" applyAlignment="1">
      <alignment horizontal="center" vertical="center"/>
    </xf>
    <xf numFmtId="0" fontId="9" fillId="0" borderId="1" xfId="55" applyFont="1" applyBorder="1" applyAlignment="1">
      <alignment horizontal="center" vertical="center"/>
    </xf>
    <xf numFmtId="3" fontId="9" fillId="0" borderId="1" xfId="3" applyNumberFormat="1" applyFont="1" applyBorder="1" applyAlignment="1">
      <alignment vertical="center"/>
    </xf>
    <xf numFmtId="0" fontId="9" fillId="0" borderId="2" xfId="3" applyFont="1" applyBorder="1" applyAlignment="1">
      <alignment vertical="center"/>
    </xf>
    <xf numFmtId="0" fontId="9" fillId="0" borderId="3" xfId="3" applyFont="1" applyBorder="1" applyAlignment="1">
      <alignment vertical="center"/>
    </xf>
    <xf numFmtId="0" fontId="9" fillId="0" borderId="5" xfId="3" applyFont="1" applyBorder="1" applyAlignment="1">
      <alignment vertical="center"/>
    </xf>
    <xf numFmtId="0" fontId="9" fillId="0" borderId="1" xfId="3" applyFont="1" applyBorder="1" applyAlignment="1">
      <alignment horizontal="right" vertical="center"/>
    </xf>
    <xf numFmtId="0" fontId="9" fillId="0" borderId="1" xfId="3" applyFont="1" applyBorder="1" applyAlignment="1">
      <alignment vertical="center"/>
    </xf>
    <xf numFmtId="3" fontId="9" fillId="0" borderId="0" xfId="3" applyNumberFormat="1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12" fillId="0" borderId="0" xfId="15" applyFont="1" applyAlignment="1">
      <alignment vertical="center"/>
    </xf>
    <xf numFmtId="0" fontId="12" fillId="0" borderId="1" xfId="51" applyFont="1" applyBorder="1" applyAlignment="1">
      <alignment vertical="center" wrapText="1"/>
    </xf>
    <xf numFmtId="0" fontId="12" fillId="0" borderId="1" xfId="51" applyFont="1" applyBorder="1" applyAlignment="1">
      <alignment horizontal="center" vertical="center"/>
    </xf>
    <xf numFmtId="0" fontId="12" fillId="0" borderId="1" xfId="55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11" fillId="0" borderId="0" xfId="15" applyFont="1" applyAlignment="1">
      <alignment vertical="center"/>
    </xf>
    <xf numFmtId="0" fontId="11" fillId="0" borderId="1" xfId="51" applyFont="1" applyBorder="1" applyAlignment="1">
      <alignment vertical="center" wrapText="1"/>
    </xf>
    <xf numFmtId="0" fontId="11" fillId="0" borderId="1" xfId="55" applyFont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0" fillId="0" borderId="1" xfId="3" applyFont="1" applyBorder="1" applyAlignment="1">
      <alignment horizontal="center" vertical="center"/>
    </xf>
    <xf numFmtId="1" fontId="9" fillId="0" borderId="0" xfId="3" applyNumberFormat="1" applyFont="1" applyAlignment="1">
      <alignment horizontal="center" vertical="center"/>
    </xf>
    <xf numFmtId="0" fontId="9" fillId="0" borderId="4" xfId="3" applyFont="1" applyBorder="1" applyAlignment="1">
      <alignment vertical="center"/>
    </xf>
    <xf numFmtId="0" fontId="9" fillId="0" borderId="11" xfId="3" applyFont="1" applyBorder="1" applyAlignment="1">
      <alignment vertical="center"/>
    </xf>
    <xf numFmtId="0" fontId="10" fillId="0" borderId="0" xfId="3" applyFont="1" applyAlignment="1">
      <alignment vertical="center" wrapText="1"/>
    </xf>
    <xf numFmtId="0" fontId="9" fillId="0" borderId="5" xfId="3" applyFont="1" applyBorder="1" applyAlignment="1">
      <alignment horizontal="right" vertical="center"/>
    </xf>
    <xf numFmtId="0" fontId="9" fillId="0" borderId="12" xfId="3" applyFont="1" applyBorder="1" applyAlignment="1">
      <alignment vertical="center"/>
    </xf>
    <xf numFmtId="0" fontId="9" fillId="0" borderId="13" xfId="3" applyFont="1" applyBorder="1" applyAlignment="1">
      <alignment vertical="center"/>
    </xf>
    <xf numFmtId="0" fontId="9" fillId="0" borderId="13" xfId="3" applyFont="1" applyBorder="1" applyAlignment="1">
      <alignment horizontal="center" vertical="center"/>
    </xf>
    <xf numFmtId="0" fontId="9" fillId="0" borderId="14" xfId="3" applyFont="1" applyBorder="1" applyAlignment="1">
      <alignment vertical="center"/>
    </xf>
    <xf numFmtId="9" fontId="9" fillId="0" borderId="0" xfId="63" applyFont="1" applyAlignment="1">
      <alignment vertical="center"/>
    </xf>
    <xf numFmtId="171" fontId="10" fillId="0" borderId="0" xfId="4" applyNumberFormat="1" applyFont="1" applyAlignment="1">
      <alignment vertical="center"/>
    </xf>
    <xf numFmtId="0" fontId="10" fillId="0" borderId="0" xfId="55" applyFont="1" applyAlignment="1">
      <alignment vertical="center"/>
    </xf>
    <xf numFmtId="0" fontId="9" fillId="0" borderId="0" xfId="55" applyFont="1" applyAlignment="1">
      <alignment horizontal="center" vertical="center"/>
    </xf>
    <xf numFmtId="0" fontId="12" fillId="0" borderId="0" xfId="55" applyFont="1" applyAlignment="1">
      <alignment horizontal="center" vertical="center"/>
    </xf>
    <xf numFmtId="0" fontId="11" fillId="0" borderId="0" xfId="55" applyFont="1" applyAlignment="1">
      <alignment horizontal="center" vertical="center"/>
    </xf>
    <xf numFmtId="0" fontId="10" fillId="0" borderId="1" xfId="51" applyFont="1" applyBorder="1" applyAlignment="1">
      <alignment horizontal="center" vertical="center" wrapText="1"/>
    </xf>
    <xf numFmtId="0" fontId="10" fillId="0" borderId="1" xfId="55" applyFont="1" applyBorder="1" applyAlignment="1">
      <alignment horizontal="center" vertical="center"/>
    </xf>
    <xf numFmtId="0" fontId="10" fillId="0" borderId="3" xfId="3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169" fontId="9" fillId="0" borderId="0" xfId="2" applyNumberFormat="1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10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9" fillId="0" borderId="1" xfId="0" applyFont="1" applyBorder="1"/>
    <xf numFmtId="0" fontId="10" fillId="0" borderId="5" xfId="2" applyFont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165" fontId="10" fillId="0" borderId="20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11" fontId="9" fillId="0" borderId="30" xfId="0" applyNumberFormat="1" applyFont="1" applyBorder="1"/>
    <xf numFmtId="0" fontId="9" fillId="0" borderId="31" xfId="0" applyFont="1" applyBorder="1" applyAlignment="1">
      <alignment horizontal="center" vertical="center"/>
    </xf>
    <xf numFmtId="11" fontId="9" fillId="0" borderId="23" xfId="0" applyNumberFormat="1" applyFont="1" applyBorder="1"/>
    <xf numFmtId="0" fontId="9" fillId="0" borderId="23" xfId="0" applyFont="1" applyBorder="1"/>
    <xf numFmtId="11" fontId="9" fillId="0" borderId="23" xfId="0" applyNumberFormat="1" applyFont="1" applyBorder="1" applyAlignment="1">
      <alignment horizontal="center" vertical="center"/>
    </xf>
    <xf numFmtId="11" fontId="9" fillId="0" borderId="0" xfId="0" applyNumberFormat="1" applyFont="1" applyAlignment="1">
      <alignment horizontal="center" vertical="center"/>
    </xf>
    <xf numFmtId="11" fontId="9" fillId="0" borderId="33" xfId="0" applyNumberFormat="1" applyFont="1" applyBorder="1"/>
    <xf numFmtId="0" fontId="9" fillId="0" borderId="34" xfId="0" applyFont="1" applyBorder="1" applyAlignment="1">
      <alignment horizontal="center" vertical="center"/>
    </xf>
    <xf numFmtId="170" fontId="9" fillId="0" borderId="35" xfId="0" applyNumberFormat="1" applyFont="1" applyBorder="1" applyAlignment="1">
      <alignment horizontal="center" vertical="center"/>
    </xf>
    <xf numFmtId="165" fontId="10" fillId="2" borderId="20" xfId="0" applyNumberFormat="1" applyFont="1" applyFill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1" fontId="8" fillId="0" borderId="0" xfId="0" applyNumberFormat="1" applyFont="1"/>
    <xf numFmtId="0" fontId="10" fillId="0" borderId="1" xfId="2" applyFont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168" fontId="10" fillId="5" borderId="6" xfId="0" applyNumberFormat="1" applyFont="1" applyFill="1" applyBorder="1" applyAlignment="1">
      <alignment horizontal="center" vertical="center" wrapText="1"/>
    </xf>
    <xf numFmtId="168" fontId="10" fillId="5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9" fontId="9" fillId="0" borderId="31" xfId="0" applyNumberFormat="1" applyFont="1" applyBorder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/>
    </xf>
    <xf numFmtId="169" fontId="9" fillId="0" borderId="32" xfId="0" applyNumberFormat="1" applyFont="1" applyBorder="1" applyAlignment="1">
      <alignment horizontal="center" vertical="center" wrapText="1"/>
    </xf>
    <xf numFmtId="169" fontId="9" fillId="0" borderId="24" xfId="0" applyNumberFormat="1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10" fillId="0" borderId="1" xfId="55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9" fillId="6" borderId="6" xfId="7" applyFont="1" applyFill="1" applyBorder="1" applyAlignment="1">
      <alignment horizontal="center" vertical="center"/>
    </xf>
    <xf numFmtId="0" fontId="9" fillId="6" borderId="15" xfId="7" applyFont="1" applyFill="1" applyBorder="1" applyAlignment="1">
      <alignment horizontal="center" vertical="center"/>
    </xf>
    <xf numFmtId="0" fontId="9" fillId="6" borderId="7" xfId="7" applyFont="1" applyFill="1" applyBorder="1" applyAlignment="1">
      <alignment horizontal="center" vertical="center"/>
    </xf>
    <xf numFmtId="0" fontId="10" fillId="0" borderId="6" xfId="51" applyFont="1" applyBorder="1" applyAlignment="1">
      <alignment horizontal="center" vertical="center" wrapText="1"/>
    </xf>
    <xf numFmtId="0" fontId="10" fillId="0" borderId="7" xfId="51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64">
    <cellStyle name="Comma_regulmira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7" xr:uid="{00000000-0005-0000-0000-000004000000}"/>
    <cellStyle name="Normal 3 2 2" xfId="13" xr:uid="{00000000-0005-0000-0000-000005000000}"/>
    <cellStyle name="Normal 3 2 2 2" xfId="25" xr:uid="{00000000-0005-0000-0000-000006000000}"/>
    <cellStyle name="Normal 3 2 2 3" xfId="37" xr:uid="{00000000-0005-0000-0000-000007000000}"/>
    <cellStyle name="Normal 3 2 2 4" xfId="49" xr:uid="{00000000-0005-0000-0000-000008000000}"/>
    <cellStyle name="Normal 3 2 2 5" xfId="61" xr:uid="{00000000-0005-0000-0000-000009000000}"/>
    <cellStyle name="Normal 3 2 3" xfId="19" xr:uid="{00000000-0005-0000-0000-00000A000000}"/>
    <cellStyle name="Normal 3 2 4" xfId="31" xr:uid="{00000000-0005-0000-0000-00000B000000}"/>
    <cellStyle name="Normal 3 2 5" xfId="43" xr:uid="{00000000-0005-0000-0000-00000C000000}"/>
    <cellStyle name="Normal 3 2 6" xfId="55" xr:uid="{00000000-0005-0000-0000-00000D000000}"/>
    <cellStyle name="Normal 3 3" xfId="5" xr:uid="{00000000-0005-0000-0000-00000E000000}"/>
    <cellStyle name="Normal 3 3 2" xfId="11" xr:uid="{00000000-0005-0000-0000-00000F000000}"/>
    <cellStyle name="Normal 3 3 2 2" xfId="23" xr:uid="{00000000-0005-0000-0000-000010000000}"/>
    <cellStyle name="Normal 3 3 2 3" xfId="35" xr:uid="{00000000-0005-0000-0000-000011000000}"/>
    <cellStyle name="Normal 3 3 2 4" xfId="47" xr:uid="{00000000-0005-0000-0000-000012000000}"/>
    <cellStyle name="Normal 3 3 2 5" xfId="59" xr:uid="{00000000-0005-0000-0000-000013000000}"/>
    <cellStyle name="Normal 3 3 3" xfId="17" xr:uid="{00000000-0005-0000-0000-000014000000}"/>
    <cellStyle name="Normal 3 3 4" xfId="29" xr:uid="{00000000-0005-0000-0000-000015000000}"/>
    <cellStyle name="Normal 3 3 5" xfId="41" xr:uid="{00000000-0005-0000-0000-000016000000}"/>
    <cellStyle name="Normal 3 3 6" xfId="53" xr:uid="{00000000-0005-0000-0000-000017000000}"/>
    <cellStyle name="Normal 3 4" xfId="9" xr:uid="{00000000-0005-0000-0000-000018000000}"/>
    <cellStyle name="Normal 3 4 2" xfId="21" xr:uid="{00000000-0005-0000-0000-000019000000}"/>
    <cellStyle name="Normal 3 4 3" xfId="33" xr:uid="{00000000-0005-0000-0000-00001A000000}"/>
    <cellStyle name="Normal 3 4 4" xfId="45" xr:uid="{00000000-0005-0000-0000-00001B000000}"/>
    <cellStyle name="Normal 3 4 5" xfId="57" xr:uid="{00000000-0005-0000-0000-00001C000000}"/>
    <cellStyle name="Normal 3 5" xfId="15" xr:uid="{00000000-0005-0000-0000-00001D000000}"/>
    <cellStyle name="Normal 3 6" xfId="27" xr:uid="{00000000-0005-0000-0000-00001E000000}"/>
    <cellStyle name="Normal 3 7" xfId="39" xr:uid="{00000000-0005-0000-0000-00001F000000}"/>
    <cellStyle name="Normal 3 8" xfId="51" xr:uid="{00000000-0005-0000-0000-000020000000}"/>
    <cellStyle name="Percent 2" xfId="4" xr:uid="{00000000-0005-0000-0000-000021000000}"/>
    <cellStyle name="Percent 2 2" xfId="8" xr:uid="{00000000-0005-0000-0000-000022000000}"/>
    <cellStyle name="Percent 2 2 2" xfId="14" xr:uid="{00000000-0005-0000-0000-000023000000}"/>
    <cellStyle name="Percent 2 2 2 2" xfId="26" xr:uid="{00000000-0005-0000-0000-000024000000}"/>
    <cellStyle name="Percent 2 2 2 3" xfId="38" xr:uid="{00000000-0005-0000-0000-000025000000}"/>
    <cellStyle name="Percent 2 2 2 4" xfId="50" xr:uid="{00000000-0005-0000-0000-000026000000}"/>
    <cellStyle name="Percent 2 2 2 5" xfId="62" xr:uid="{00000000-0005-0000-0000-000027000000}"/>
    <cellStyle name="Percent 2 2 3" xfId="20" xr:uid="{00000000-0005-0000-0000-000028000000}"/>
    <cellStyle name="Percent 2 2 4" xfId="32" xr:uid="{00000000-0005-0000-0000-000029000000}"/>
    <cellStyle name="Percent 2 2 5" xfId="44" xr:uid="{00000000-0005-0000-0000-00002A000000}"/>
    <cellStyle name="Percent 2 2 6" xfId="56" xr:uid="{00000000-0005-0000-0000-00002B000000}"/>
    <cellStyle name="Percent 2 3" xfId="6" xr:uid="{00000000-0005-0000-0000-00002C000000}"/>
    <cellStyle name="Percent 2 3 2" xfId="12" xr:uid="{00000000-0005-0000-0000-00002D000000}"/>
    <cellStyle name="Percent 2 3 2 2" xfId="24" xr:uid="{00000000-0005-0000-0000-00002E000000}"/>
    <cellStyle name="Percent 2 3 2 3" xfId="36" xr:uid="{00000000-0005-0000-0000-00002F000000}"/>
    <cellStyle name="Percent 2 3 2 4" xfId="48" xr:uid="{00000000-0005-0000-0000-000030000000}"/>
    <cellStyle name="Percent 2 3 2 5" xfId="60" xr:uid="{00000000-0005-0000-0000-000031000000}"/>
    <cellStyle name="Percent 2 3 3" xfId="18" xr:uid="{00000000-0005-0000-0000-000032000000}"/>
    <cellStyle name="Percent 2 3 4" xfId="30" xr:uid="{00000000-0005-0000-0000-000033000000}"/>
    <cellStyle name="Percent 2 3 5" xfId="42" xr:uid="{00000000-0005-0000-0000-000034000000}"/>
    <cellStyle name="Percent 2 3 6" xfId="54" xr:uid="{00000000-0005-0000-0000-000035000000}"/>
    <cellStyle name="Percent 2 4" xfId="10" xr:uid="{00000000-0005-0000-0000-000036000000}"/>
    <cellStyle name="Percent 2 4 2" xfId="22" xr:uid="{00000000-0005-0000-0000-000037000000}"/>
    <cellStyle name="Percent 2 4 3" xfId="34" xr:uid="{00000000-0005-0000-0000-000038000000}"/>
    <cellStyle name="Percent 2 4 4" xfId="46" xr:uid="{00000000-0005-0000-0000-000039000000}"/>
    <cellStyle name="Percent 2 4 5" xfId="58" xr:uid="{00000000-0005-0000-0000-00003A000000}"/>
    <cellStyle name="Percent 2 5" xfId="16" xr:uid="{00000000-0005-0000-0000-00003B000000}"/>
    <cellStyle name="Percent 2 6" xfId="28" xr:uid="{00000000-0005-0000-0000-00003C000000}"/>
    <cellStyle name="Percent 2 7" xfId="40" xr:uid="{00000000-0005-0000-0000-00003D000000}"/>
    <cellStyle name="Percent 2 8" xfId="52" xr:uid="{00000000-0005-0000-0000-00003E000000}"/>
    <cellStyle name="Porcentaje" xfId="6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25</xdr:row>
      <xdr:rowOff>0</xdr:rowOff>
    </xdr:from>
    <xdr:to>
      <xdr:col>8</xdr:col>
      <xdr:colOff>285750</xdr:colOff>
      <xdr:row>45</xdr:row>
      <xdr:rowOff>133350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477000" y="6267450"/>
          <a:ext cx="0" cy="2990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25</xdr:row>
      <xdr:rowOff>0</xdr:rowOff>
    </xdr:from>
    <xdr:to>
      <xdr:col>9</xdr:col>
      <xdr:colOff>257175</xdr:colOff>
      <xdr:row>45</xdr:row>
      <xdr:rowOff>133350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7000875" y="6267450"/>
          <a:ext cx="0" cy="2990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25</xdr:row>
      <xdr:rowOff>0</xdr:rowOff>
    </xdr:from>
    <xdr:to>
      <xdr:col>10</xdr:col>
      <xdr:colOff>238125</xdr:colOff>
      <xdr:row>45</xdr:row>
      <xdr:rowOff>133350</xdr:rowOff>
    </xdr:to>
    <xdr:cxnSp macro="">
      <xdr:nvCxnSpPr>
        <xdr:cNvPr id="10" name="9 Conector rec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7534275" y="6267450"/>
          <a:ext cx="0" cy="2990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25</xdr:row>
      <xdr:rowOff>76200</xdr:rowOff>
    </xdr:from>
    <xdr:to>
      <xdr:col>11</xdr:col>
      <xdr:colOff>9525</xdr:colOff>
      <xdr:row>25</xdr:row>
      <xdr:rowOff>76200</xdr:rowOff>
    </xdr:to>
    <xdr:cxnSp macro="">
      <xdr:nvCxnSpPr>
        <xdr:cNvPr id="12" name="11 Conector rec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200775" y="63436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26</xdr:row>
      <xdr:rowOff>76200</xdr:rowOff>
    </xdr:from>
    <xdr:to>
      <xdr:col>11</xdr:col>
      <xdr:colOff>9525</xdr:colOff>
      <xdr:row>26</xdr:row>
      <xdr:rowOff>76200</xdr:rowOff>
    </xdr:to>
    <xdr:cxnSp macro="">
      <xdr:nvCxnSpPr>
        <xdr:cNvPr id="13" name="12 Conector rec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6200775" y="64865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27</xdr:row>
      <xdr:rowOff>76200</xdr:rowOff>
    </xdr:from>
    <xdr:to>
      <xdr:col>11</xdr:col>
      <xdr:colOff>9525</xdr:colOff>
      <xdr:row>27</xdr:row>
      <xdr:rowOff>76200</xdr:rowOff>
    </xdr:to>
    <xdr:cxnSp macro="">
      <xdr:nvCxnSpPr>
        <xdr:cNvPr id="14" name="13 Conector rec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200775" y="66294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28</xdr:row>
      <xdr:rowOff>85725</xdr:rowOff>
    </xdr:from>
    <xdr:to>
      <xdr:col>11</xdr:col>
      <xdr:colOff>9525</xdr:colOff>
      <xdr:row>28</xdr:row>
      <xdr:rowOff>85725</xdr:rowOff>
    </xdr:to>
    <xdr:cxnSp macro="">
      <xdr:nvCxnSpPr>
        <xdr:cNvPr id="15" name="14 Conector rect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6200775" y="67818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29</xdr:row>
      <xdr:rowOff>85725</xdr:rowOff>
    </xdr:from>
    <xdr:to>
      <xdr:col>11</xdr:col>
      <xdr:colOff>9525</xdr:colOff>
      <xdr:row>29</xdr:row>
      <xdr:rowOff>85725</xdr:rowOff>
    </xdr:to>
    <xdr:cxnSp macro="">
      <xdr:nvCxnSpPr>
        <xdr:cNvPr id="16" name="15 Conector rec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6200775" y="69246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30</xdr:row>
      <xdr:rowOff>85725</xdr:rowOff>
    </xdr:from>
    <xdr:to>
      <xdr:col>11</xdr:col>
      <xdr:colOff>9525</xdr:colOff>
      <xdr:row>30</xdr:row>
      <xdr:rowOff>85725</xdr:rowOff>
    </xdr:to>
    <xdr:cxnSp macro="">
      <xdr:nvCxnSpPr>
        <xdr:cNvPr id="17" name="16 Conector rect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6200775" y="70675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31</xdr:row>
      <xdr:rowOff>76200</xdr:rowOff>
    </xdr:from>
    <xdr:to>
      <xdr:col>11</xdr:col>
      <xdr:colOff>9525</xdr:colOff>
      <xdr:row>31</xdr:row>
      <xdr:rowOff>76200</xdr:rowOff>
    </xdr:to>
    <xdr:cxnSp macro="">
      <xdr:nvCxnSpPr>
        <xdr:cNvPr id="18" name="17 Conector rect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6200775" y="72009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32</xdr:row>
      <xdr:rowOff>76200</xdr:rowOff>
    </xdr:from>
    <xdr:to>
      <xdr:col>11</xdr:col>
      <xdr:colOff>9525</xdr:colOff>
      <xdr:row>32</xdr:row>
      <xdr:rowOff>76200</xdr:rowOff>
    </xdr:to>
    <xdr:cxnSp macro="">
      <xdr:nvCxnSpPr>
        <xdr:cNvPr id="19" name="18 Conector rect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6200775" y="73437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33</xdr:row>
      <xdr:rowOff>76200</xdr:rowOff>
    </xdr:from>
    <xdr:to>
      <xdr:col>11</xdr:col>
      <xdr:colOff>9525</xdr:colOff>
      <xdr:row>33</xdr:row>
      <xdr:rowOff>76200</xdr:rowOff>
    </xdr:to>
    <xdr:cxnSp macro="">
      <xdr:nvCxnSpPr>
        <xdr:cNvPr id="20" name="19 Conector rect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6200775" y="74866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34</xdr:row>
      <xdr:rowOff>85725</xdr:rowOff>
    </xdr:from>
    <xdr:to>
      <xdr:col>11</xdr:col>
      <xdr:colOff>9525</xdr:colOff>
      <xdr:row>34</xdr:row>
      <xdr:rowOff>85725</xdr:rowOff>
    </xdr:to>
    <xdr:cxnSp macro="">
      <xdr:nvCxnSpPr>
        <xdr:cNvPr id="21" name="20 Conector rect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6200775" y="76390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35</xdr:row>
      <xdr:rowOff>85725</xdr:rowOff>
    </xdr:from>
    <xdr:to>
      <xdr:col>11</xdr:col>
      <xdr:colOff>9525</xdr:colOff>
      <xdr:row>35</xdr:row>
      <xdr:rowOff>85725</xdr:rowOff>
    </xdr:to>
    <xdr:cxnSp macro="">
      <xdr:nvCxnSpPr>
        <xdr:cNvPr id="22" name="21 Conector rect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6200775" y="77819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36</xdr:row>
      <xdr:rowOff>85725</xdr:rowOff>
    </xdr:from>
    <xdr:to>
      <xdr:col>11</xdr:col>
      <xdr:colOff>9525</xdr:colOff>
      <xdr:row>36</xdr:row>
      <xdr:rowOff>85725</xdr:rowOff>
    </xdr:to>
    <xdr:cxnSp macro="">
      <xdr:nvCxnSpPr>
        <xdr:cNvPr id="23" name="22 Conector rect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6200775" y="79248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37</xdr:row>
      <xdr:rowOff>76200</xdr:rowOff>
    </xdr:from>
    <xdr:to>
      <xdr:col>11</xdr:col>
      <xdr:colOff>9525</xdr:colOff>
      <xdr:row>37</xdr:row>
      <xdr:rowOff>76200</xdr:rowOff>
    </xdr:to>
    <xdr:cxnSp macro="">
      <xdr:nvCxnSpPr>
        <xdr:cNvPr id="24" name="23 Conector rect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6200775" y="80581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38</xdr:row>
      <xdr:rowOff>76200</xdr:rowOff>
    </xdr:from>
    <xdr:to>
      <xdr:col>11</xdr:col>
      <xdr:colOff>9525</xdr:colOff>
      <xdr:row>38</xdr:row>
      <xdr:rowOff>76200</xdr:rowOff>
    </xdr:to>
    <xdr:cxnSp macro="">
      <xdr:nvCxnSpPr>
        <xdr:cNvPr id="25" name="24 Conector rect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6200775" y="82010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39</xdr:row>
      <xdr:rowOff>76200</xdr:rowOff>
    </xdr:from>
    <xdr:to>
      <xdr:col>11</xdr:col>
      <xdr:colOff>9525</xdr:colOff>
      <xdr:row>39</xdr:row>
      <xdr:rowOff>76200</xdr:rowOff>
    </xdr:to>
    <xdr:cxnSp macro="">
      <xdr:nvCxnSpPr>
        <xdr:cNvPr id="26" name="25 Conector rect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6200775" y="83439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40</xdr:row>
      <xdr:rowOff>76200</xdr:rowOff>
    </xdr:from>
    <xdr:to>
      <xdr:col>11</xdr:col>
      <xdr:colOff>9525</xdr:colOff>
      <xdr:row>40</xdr:row>
      <xdr:rowOff>76200</xdr:rowOff>
    </xdr:to>
    <xdr:cxnSp macro="">
      <xdr:nvCxnSpPr>
        <xdr:cNvPr id="27" name="26 Conector rect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6200775" y="84867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41</xdr:row>
      <xdr:rowOff>76200</xdr:rowOff>
    </xdr:from>
    <xdr:to>
      <xdr:col>11</xdr:col>
      <xdr:colOff>9525</xdr:colOff>
      <xdr:row>41</xdr:row>
      <xdr:rowOff>76200</xdr:rowOff>
    </xdr:to>
    <xdr:cxnSp macro="">
      <xdr:nvCxnSpPr>
        <xdr:cNvPr id="28" name="27 Conector rect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6200775" y="86296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42</xdr:row>
      <xdr:rowOff>76200</xdr:rowOff>
    </xdr:from>
    <xdr:to>
      <xdr:col>11</xdr:col>
      <xdr:colOff>9525</xdr:colOff>
      <xdr:row>42</xdr:row>
      <xdr:rowOff>76200</xdr:rowOff>
    </xdr:to>
    <xdr:cxnSp macro="">
      <xdr:nvCxnSpPr>
        <xdr:cNvPr id="29" name="28 Conector rect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6200775" y="87725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43</xdr:row>
      <xdr:rowOff>85725</xdr:rowOff>
    </xdr:from>
    <xdr:to>
      <xdr:col>11</xdr:col>
      <xdr:colOff>9525</xdr:colOff>
      <xdr:row>43</xdr:row>
      <xdr:rowOff>85725</xdr:rowOff>
    </xdr:to>
    <xdr:cxnSp macro="">
      <xdr:nvCxnSpPr>
        <xdr:cNvPr id="30" name="29 Conector rect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6200775" y="89249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44</xdr:row>
      <xdr:rowOff>85725</xdr:rowOff>
    </xdr:from>
    <xdr:to>
      <xdr:col>11</xdr:col>
      <xdr:colOff>9525</xdr:colOff>
      <xdr:row>44</xdr:row>
      <xdr:rowOff>85725</xdr:rowOff>
    </xdr:to>
    <xdr:cxnSp macro="">
      <xdr:nvCxnSpPr>
        <xdr:cNvPr id="31" name="30 Conector rect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6200775" y="90678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45</xdr:row>
      <xdr:rowOff>85725</xdr:rowOff>
    </xdr:from>
    <xdr:to>
      <xdr:col>11</xdr:col>
      <xdr:colOff>9525</xdr:colOff>
      <xdr:row>45</xdr:row>
      <xdr:rowOff>85725</xdr:rowOff>
    </xdr:to>
    <xdr:cxnSp macro="">
      <xdr:nvCxnSpPr>
        <xdr:cNvPr id="32" name="31 Conector rect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6200775" y="92106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25</xdr:row>
      <xdr:rowOff>47625</xdr:rowOff>
    </xdr:from>
    <xdr:to>
      <xdr:col>8</xdr:col>
      <xdr:colOff>314325</xdr:colOff>
      <xdr:row>25</xdr:row>
      <xdr:rowOff>104775</xdr:rowOff>
    </xdr:to>
    <xdr:sp macro="" textlink="">
      <xdr:nvSpPr>
        <xdr:cNvPr id="34" name="33 Elipse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6457950" y="63341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238125</xdr:colOff>
      <xdr:row>26</xdr:row>
      <xdr:rowOff>47625</xdr:rowOff>
    </xdr:from>
    <xdr:to>
      <xdr:col>9</xdr:col>
      <xdr:colOff>285750</xdr:colOff>
      <xdr:row>26</xdr:row>
      <xdr:rowOff>104775</xdr:rowOff>
    </xdr:to>
    <xdr:sp macro="" textlink="">
      <xdr:nvSpPr>
        <xdr:cNvPr id="35" name="34 Elipse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6981825" y="647700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266700</xdr:colOff>
      <xdr:row>27</xdr:row>
      <xdr:rowOff>104775</xdr:rowOff>
    </xdr:to>
    <xdr:sp macro="" textlink="">
      <xdr:nvSpPr>
        <xdr:cNvPr id="36" name="35 Elipse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7515225" y="66198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266700</xdr:colOff>
      <xdr:row>28</xdr:row>
      <xdr:rowOff>57150</xdr:rowOff>
    </xdr:from>
    <xdr:to>
      <xdr:col>8</xdr:col>
      <xdr:colOff>314325</xdr:colOff>
      <xdr:row>28</xdr:row>
      <xdr:rowOff>114300</xdr:rowOff>
    </xdr:to>
    <xdr:sp macro="" textlink="">
      <xdr:nvSpPr>
        <xdr:cNvPr id="37" name="36 Elipse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6457950" y="67722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238125</xdr:colOff>
      <xdr:row>29</xdr:row>
      <xdr:rowOff>57150</xdr:rowOff>
    </xdr:from>
    <xdr:to>
      <xdr:col>9</xdr:col>
      <xdr:colOff>285750</xdr:colOff>
      <xdr:row>29</xdr:row>
      <xdr:rowOff>114300</xdr:rowOff>
    </xdr:to>
    <xdr:sp macro="" textlink="">
      <xdr:nvSpPr>
        <xdr:cNvPr id="38" name="37 Elipse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6981825" y="691515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219075</xdr:colOff>
      <xdr:row>30</xdr:row>
      <xdr:rowOff>57150</xdr:rowOff>
    </xdr:from>
    <xdr:to>
      <xdr:col>10</xdr:col>
      <xdr:colOff>266700</xdr:colOff>
      <xdr:row>30</xdr:row>
      <xdr:rowOff>114300</xdr:rowOff>
    </xdr:to>
    <xdr:sp macro="" textlink="">
      <xdr:nvSpPr>
        <xdr:cNvPr id="39" name="38 Elipse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7515225" y="70580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276225</xdr:colOff>
      <xdr:row>31</xdr:row>
      <xdr:rowOff>47625</xdr:rowOff>
    </xdr:from>
    <xdr:to>
      <xdr:col>8</xdr:col>
      <xdr:colOff>323850</xdr:colOff>
      <xdr:row>31</xdr:row>
      <xdr:rowOff>104775</xdr:rowOff>
    </xdr:to>
    <xdr:sp macro="" textlink="">
      <xdr:nvSpPr>
        <xdr:cNvPr id="40" name="39 Elipse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6467475" y="71913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247650</xdr:colOff>
      <xdr:row>32</xdr:row>
      <xdr:rowOff>47625</xdr:rowOff>
    </xdr:from>
    <xdr:to>
      <xdr:col>9</xdr:col>
      <xdr:colOff>295275</xdr:colOff>
      <xdr:row>32</xdr:row>
      <xdr:rowOff>104775</xdr:rowOff>
    </xdr:to>
    <xdr:sp macro="" textlink="">
      <xdr:nvSpPr>
        <xdr:cNvPr id="41" name="40 Elipse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6991350" y="733425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228600</xdr:colOff>
      <xdr:row>33</xdr:row>
      <xdr:rowOff>47625</xdr:rowOff>
    </xdr:from>
    <xdr:to>
      <xdr:col>10</xdr:col>
      <xdr:colOff>276225</xdr:colOff>
      <xdr:row>33</xdr:row>
      <xdr:rowOff>104775</xdr:rowOff>
    </xdr:to>
    <xdr:sp macro="" textlink="">
      <xdr:nvSpPr>
        <xdr:cNvPr id="42" name="41 Elipse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7524750" y="74771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266700</xdr:colOff>
      <xdr:row>34</xdr:row>
      <xdr:rowOff>57150</xdr:rowOff>
    </xdr:from>
    <xdr:to>
      <xdr:col>8</xdr:col>
      <xdr:colOff>314325</xdr:colOff>
      <xdr:row>34</xdr:row>
      <xdr:rowOff>114300</xdr:rowOff>
    </xdr:to>
    <xdr:sp macro="" textlink="">
      <xdr:nvSpPr>
        <xdr:cNvPr id="43" name="42 Elipse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6457950" y="76295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238125</xdr:colOff>
      <xdr:row>35</xdr:row>
      <xdr:rowOff>57150</xdr:rowOff>
    </xdr:from>
    <xdr:to>
      <xdr:col>9</xdr:col>
      <xdr:colOff>285750</xdr:colOff>
      <xdr:row>35</xdr:row>
      <xdr:rowOff>114300</xdr:rowOff>
    </xdr:to>
    <xdr:sp macro="" textlink="">
      <xdr:nvSpPr>
        <xdr:cNvPr id="44" name="43 Elipse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6981825" y="777240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219075</xdr:colOff>
      <xdr:row>36</xdr:row>
      <xdr:rowOff>57150</xdr:rowOff>
    </xdr:from>
    <xdr:to>
      <xdr:col>10</xdr:col>
      <xdr:colOff>266700</xdr:colOff>
      <xdr:row>36</xdr:row>
      <xdr:rowOff>114300</xdr:rowOff>
    </xdr:to>
    <xdr:sp macro="" textlink="">
      <xdr:nvSpPr>
        <xdr:cNvPr id="45" name="44 Elipse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7515225" y="79152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266700</xdr:colOff>
      <xdr:row>37</xdr:row>
      <xdr:rowOff>47625</xdr:rowOff>
    </xdr:from>
    <xdr:to>
      <xdr:col>8</xdr:col>
      <xdr:colOff>314325</xdr:colOff>
      <xdr:row>37</xdr:row>
      <xdr:rowOff>104775</xdr:rowOff>
    </xdr:to>
    <xdr:sp macro="" textlink="">
      <xdr:nvSpPr>
        <xdr:cNvPr id="46" name="45 Elipse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6457950" y="80486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238125</xdr:colOff>
      <xdr:row>38</xdr:row>
      <xdr:rowOff>47625</xdr:rowOff>
    </xdr:from>
    <xdr:to>
      <xdr:col>9</xdr:col>
      <xdr:colOff>285750</xdr:colOff>
      <xdr:row>38</xdr:row>
      <xdr:rowOff>104775</xdr:rowOff>
    </xdr:to>
    <xdr:sp macro="" textlink="">
      <xdr:nvSpPr>
        <xdr:cNvPr id="47" name="46 Elipse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6981825" y="819150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266700</xdr:colOff>
      <xdr:row>39</xdr:row>
      <xdr:rowOff>104775</xdr:rowOff>
    </xdr:to>
    <xdr:sp macro="" textlink="">
      <xdr:nvSpPr>
        <xdr:cNvPr id="48" name="47 Elipse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7515225" y="83343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276225</xdr:colOff>
      <xdr:row>40</xdr:row>
      <xdr:rowOff>47625</xdr:rowOff>
    </xdr:from>
    <xdr:to>
      <xdr:col>8</xdr:col>
      <xdr:colOff>323850</xdr:colOff>
      <xdr:row>40</xdr:row>
      <xdr:rowOff>104775</xdr:rowOff>
    </xdr:to>
    <xdr:sp macro="" textlink="">
      <xdr:nvSpPr>
        <xdr:cNvPr id="49" name="48 Elipse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6467475" y="847725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247650</xdr:colOff>
      <xdr:row>41</xdr:row>
      <xdr:rowOff>47625</xdr:rowOff>
    </xdr:from>
    <xdr:to>
      <xdr:col>9</xdr:col>
      <xdr:colOff>295275</xdr:colOff>
      <xdr:row>41</xdr:row>
      <xdr:rowOff>104775</xdr:rowOff>
    </xdr:to>
    <xdr:sp macro="" textlink="">
      <xdr:nvSpPr>
        <xdr:cNvPr id="50" name="49 Elipse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6991350" y="86201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228600</xdr:colOff>
      <xdr:row>42</xdr:row>
      <xdr:rowOff>47625</xdr:rowOff>
    </xdr:from>
    <xdr:to>
      <xdr:col>10</xdr:col>
      <xdr:colOff>276225</xdr:colOff>
      <xdr:row>42</xdr:row>
      <xdr:rowOff>104775</xdr:rowOff>
    </xdr:to>
    <xdr:sp macro="" textlink="">
      <xdr:nvSpPr>
        <xdr:cNvPr id="51" name="50 Elipse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7524750" y="876300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276225</xdr:colOff>
      <xdr:row>43</xdr:row>
      <xdr:rowOff>57150</xdr:rowOff>
    </xdr:from>
    <xdr:to>
      <xdr:col>8</xdr:col>
      <xdr:colOff>323850</xdr:colOff>
      <xdr:row>43</xdr:row>
      <xdr:rowOff>114300</xdr:rowOff>
    </xdr:to>
    <xdr:sp macro="" textlink="">
      <xdr:nvSpPr>
        <xdr:cNvPr id="52" name="51 Elipse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6467475" y="891540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247650</xdr:colOff>
      <xdr:row>44</xdr:row>
      <xdr:rowOff>57150</xdr:rowOff>
    </xdr:from>
    <xdr:to>
      <xdr:col>9</xdr:col>
      <xdr:colOff>295275</xdr:colOff>
      <xdr:row>44</xdr:row>
      <xdr:rowOff>114300</xdr:rowOff>
    </xdr:to>
    <xdr:sp macro="" textlink="">
      <xdr:nvSpPr>
        <xdr:cNvPr id="53" name="52 Elipse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6991350" y="90582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228600</xdr:colOff>
      <xdr:row>45</xdr:row>
      <xdr:rowOff>57150</xdr:rowOff>
    </xdr:from>
    <xdr:to>
      <xdr:col>10</xdr:col>
      <xdr:colOff>276225</xdr:colOff>
      <xdr:row>45</xdr:row>
      <xdr:rowOff>114300</xdr:rowOff>
    </xdr:to>
    <xdr:sp macro="" textlink="">
      <xdr:nvSpPr>
        <xdr:cNvPr id="54" name="53 Elipse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7524750" y="920115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285750</xdr:colOff>
      <xdr:row>78</xdr:row>
      <xdr:rowOff>0</xdr:rowOff>
    </xdr:from>
    <xdr:to>
      <xdr:col>8</xdr:col>
      <xdr:colOff>285750</xdr:colOff>
      <xdr:row>98</xdr:row>
      <xdr:rowOff>133350</xdr:rowOff>
    </xdr:to>
    <xdr:cxnSp macro="">
      <xdr:nvCxnSpPr>
        <xdr:cNvPr id="55" name="54 Conector recto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>
          <a:off x="6477000" y="3162300"/>
          <a:ext cx="0" cy="2990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78</xdr:row>
      <xdr:rowOff>0</xdr:rowOff>
    </xdr:from>
    <xdr:to>
      <xdr:col>9</xdr:col>
      <xdr:colOff>257175</xdr:colOff>
      <xdr:row>98</xdr:row>
      <xdr:rowOff>133350</xdr:rowOff>
    </xdr:to>
    <xdr:cxnSp macro="">
      <xdr:nvCxnSpPr>
        <xdr:cNvPr id="56" name="55 Conector recto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>
          <a:off x="7000875" y="3162300"/>
          <a:ext cx="0" cy="2990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78</xdr:row>
      <xdr:rowOff>0</xdr:rowOff>
    </xdr:from>
    <xdr:to>
      <xdr:col>10</xdr:col>
      <xdr:colOff>238125</xdr:colOff>
      <xdr:row>98</xdr:row>
      <xdr:rowOff>133350</xdr:rowOff>
    </xdr:to>
    <xdr:cxnSp macro="">
      <xdr:nvCxnSpPr>
        <xdr:cNvPr id="57" name="56 Conector recto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/>
      </xdr:nvCxnSpPr>
      <xdr:spPr>
        <a:xfrm>
          <a:off x="7534275" y="3162300"/>
          <a:ext cx="0" cy="2990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78</xdr:row>
      <xdr:rowOff>76200</xdr:rowOff>
    </xdr:from>
    <xdr:to>
      <xdr:col>11</xdr:col>
      <xdr:colOff>9525</xdr:colOff>
      <xdr:row>78</xdr:row>
      <xdr:rowOff>76200</xdr:rowOff>
    </xdr:to>
    <xdr:cxnSp macro="">
      <xdr:nvCxnSpPr>
        <xdr:cNvPr id="58" name="57 Conector recto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/>
      </xdr:nvCxnSpPr>
      <xdr:spPr>
        <a:xfrm>
          <a:off x="6200775" y="32385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79</xdr:row>
      <xdr:rowOff>76200</xdr:rowOff>
    </xdr:from>
    <xdr:to>
      <xdr:col>11</xdr:col>
      <xdr:colOff>9525</xdr:colOff>
      <xdr:row>79</xdr:row>
      <xdr:rowOff>76200</xdr:rowOff>
    </xdr:to>
    <xdr:cxnSp macro="">
      <xdr:nvCxnSpPr>
        <xdr:cNvPr id="59" name="58 Conector recto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>
          <a:off x="6200775" y="33813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80</xdr:row>
      <xdr:rowOff>76200</xdr:rowOff>
    </xdr:from>
    <xdr:to>
      <xdr:col>11</xdr:col>
      <xdr:colOff>9525</xdr:colOff>
      <xdr:row>80</xdr:row>
      <xdr:rowOff>76200</xdr:rowOff>
    </xdr:to>
    <xdr:cxnSp macro="">
      <xdr:nvCxnSpPr>
        <xdr:cNvPr id="60" name="59 Conector recto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/>
      </xdr:nvCxnSpPr>
      <xdr:spPr>
        <a:xfrm>
          <a:off x="6200775" y="35242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81</xdr:row>
      <xdr:rowOff>85725</xdr:rowOff>
    </xdr:from>
    <xdr:to>
      <xdr:col>11</xdr:col>
      <xdr:colOff>9525</xdr:colOff>
      <xdr:row>81</xdr:row>
      <xdr:rowOff>85725</xdr:rowOff>
    </xdr:to>
    <xdr:cxnSp macro="">
      <xdr:nvCxnSpPr>
        <xdr:cNvPr id="61" name="60 Conector recto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/>
      </xdr:nvCxnSpPr>
      <xdr:spPr>
        <a:xfrm>
          <a:off x="6200775" y="36766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82</xdr:row>
      <xdr:rowOff>85725</xdr:rowOff>
    </xdr:from>
    <xdr:to>
      <xdr:col>11</xdr:col>
      <xdr:colOff>9525</xdr:colOff>
      <xdr:row>82</xdr:row>
      <xdr:rowOff>85725</xdr:rowOff>
    </xdr:to>
    <xdr:cxnSp macro="">
      <xdr:nvCxnSpPr>
        <xdr:cNvPr id="62" name="61 Conector recto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/>
      </xdr:nvCxnSpPr>
      <xdr:spPr>
        <a:xfrm>
          <a:off x="6200775" y="38195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83</xdr:row>
      <xdr:rowOff>85725</xdr:rowOff>
    </xdr:from>
    <xdr:to>
      <xdr:col>11</xdr:col>
      <xdr:colOff>9525</xdr:colOff>
      <xdr:row>83</xdr:row>
      <xdr:rowOff>85725</xdr:rowOff>
    </xdr:to>
    <xdr:cxnSp macro="">
      <xdr:nvCxnSpPr>
        <xdr:cNvPr id="63" name="62 Conector recto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>
          <a:off x="6200775" y="39624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84</xdr:row>
      <xdr:rowOff>76200</xdr:rowOff>
    </xdr:from>
    <xdr:to>
      <xdr:col>11</xdr:col>
      <xdr:colOff>9525</xdr:colOff>
      <xdr:row>84</xdr:row>
      <xdr:rowOff>76200</xdr:rowOff>
    </xdr:to>
    <xdr:cxnSp macro="">
      <xdr:nvCxnSpPr>
        <xdr:cNvPr id="64" name="63 Conector recto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CxnSpPr/>
      </xdr:nvCxnSpPr>
      <xdr:spPr>
        <a:xfrm>
          <a:off x="6200775" y="40957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85</xdr:row>
      <xdr:rowOff>76200</xdr:rowOff>
    </xdr:from>
    <xdr:to>
      <xdr:col>11</xdr:col>
      <xdr:colOff>9525</xdr:colOff>
      <xdr:row>85</xdr:row>
      <xdr:rowOff>76200</xdr:rowOff>
    </xdr:to>
    <xdr:cxnSp macro="">
      <xdr:nvCxnSpPr>
        <xdr:cNvPr id="65" name="64 Conector recto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CxnSpPr/>
      </xdr:nvCxnSpPr>
      <xdr:spPr>
        <a:xfrm>
          <a:off x="6200775" y="42386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86</xdr:row>
      <xdr:rowOff>76200</xdr:rowOff>
    </xdr:from>
    <xdr:to>
      <xdr:col>11</xdr:col>
      <xdr:colOff>9525</xdr:colOff>
      <xdr:row>86</xdr:row>
      <xdr:rowOff>76200</xdr:rowOff>
    </xdr:to>
    <xdr:cxnSp macro="">
      <xdr:nvCxnSpPr>
        <xdr:cNvPr id="66" name="65 Conector recto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6200775" y="43815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87</xdr:row>
      <xdr:rowOff>85725</xdr:rowOff>
    </xdr:from>
    <xdr:to>
      <xdr:col>11</xdr:col>
      <xdr:colOff>9525</xdr:colOff>
      <xdr:row>87</xdr:row>
      <xdr:rowOff>85725</xdr:rowOff>
    </xdr:to>
    <xdr:cxnSp macro="">
      <xdr:nvCxnSpPr>
        <xdr:cNvPr id="67" name="66 Conector recto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6200775" y="45339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88</xdr:row>
      <xdr:rowOff>85725</xdr:rowOff>
    </xdr:from>
    <xdr:to>
      <xdr:col>11</xdr:col>
      <xdr:colOff>9525</xdr:colOff>
      <xdr:row>88</xdr:row>
      <xdr:rowOff>85725</xdr:rowOff>
    </xdr:to>
    <xdr:cxnSp macro="">
      <xdr:nvCxnSpPr>
        <xdr:cNvPr id="68" name="67 Conector rect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6200775" y="46767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89</xdr:row>
      <xdr:rowOff>85725</xdr:rowOff>
    </xdr:from>
    <xdr:to>
      <xdr:col>11</xdr:col>
      <xdr:colOff>9525</xdr:colOff>
      <xdr:row>89</xdr:row>
      <xdr:rowOff>85725</xdr:rowOff>
    </xdr:to>
    <xdr:cxnSp macro="">
      <xdr:nvCxnSpPr>
        <xdr:cNvPr id="69" name="68 Conector recto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>
          <a:off x="6200775" y="48196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90</xdr:row>
      <xdr:rowOff>76200</xdr:rowOff>
    </xdr:from>
    <xdr:to>
      <xdr:col>11</xdr:col>
      <xdr:colOff>9525</xdr:colOff>
      <xdr:row>90</xdr:row>
      <xdr:rowOff>76200</xdr:rowOff>
    </xdr:to>
    <xdr:cxnSp macro="">
      <xdr:nvCxnSpPr>
        <xdr:cNvPr id="70" name="69 Conector recto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CxnSpPr/>
      </xdr:nvCxnSpPr>
      <xdr:spPr>
        <a:xfrm>
          <a:off x="6200775" y="49530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91</xdr:row>
      <xdr:rowOff>76200</xdr:rowOff>
    </xdr:from>
    <xdr:to>
      <xdr:col>11</xdr:col>
      <xdr:colOff>9525</xdr:colOff>
      <xdr:row>91</xdr:row>
      <xdr:rowOff>76200</xdr:rowOff>
    </xdr:to>
    <xdr:cxnSp macro="">
      <xdr:nvCxnSpPr>
        <xdr:cNvPr id="71" name="70 Conector recto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/>
      </xdr:nvCxnSpPr>
      <xdr:spPr>
        <a:xfrm>
          <a:off x="6200775" y="50958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92</xdr:row>
      <xdr:rowOff>76200</xdr:rowOff>
    </xdr:from>
    <xdr:to>
      <xdr:col>11</xdr:col>
      <xdr:colOff>9525</xdr:colOff>
      <xdr:row>92</xdr:row>
      <xdr:rowOff>76200</xdr:rowOff>
    </xdr:to>
    <xdr:cxnSp macro="">
      <xdr:nvCxnSpPr>
        <xdr:cNvPr id="72" name="71 Conector recto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CxnSpPr/>
      </xdr:nvCxnSpPr>
      <xdr:spPr>
        <a:xfrm>
          <a:off x="6200775" y="52387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93</xdr:row>
      <xdr:rowOff>76200</xdr:rowOff>
    </xdr:from>
    <xdr:to>
      <xdr:col>11</xdr:col>
      <xdr:colOff>9525</xdr:colOff>
      <xdr:row>93</xdr:row>
      <xdr:rowOff>76200</xdr:rowOff>
    </xdr:to>
    <xdr:cxnSp macro="">
      <xdr:nvCxnSpPr>
        <xdr:cNvPr id="73" name="72 Conector recto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CxnSpPr/>
      </xdr:nvCxnSpPr>
      <xdr:spPr>
        <a:xfrm>
          <a:off x="6200775" y="53816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94</xdr:row>
      <xdr:rowOff>76200</xdr:rowOff>
    </xdr:from>
    <xdr:to>
      <xdr:col>11</xdr:col>
      <xdr:colOff>9525</xdr:colOff>
      <xdr:row>94</xdr:row>
      <xdr:rowOff>76200</xdr:rowOff>
    </xdr:to>
    <xdr:cxnSp macro="">
      <xdr:nvCxnSpPr>
        <xdr:cNvPr id="74" name="73 Conector recto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CxnSpPr/>
      </xdr:nvCxnSpPr>
      <xdr:spPr>
        <a:xfrm>
          <a:off x="6200775" y="55245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95</xdr:row>
      <xdr:rowOff>76200</xdr:rowOff>
    </xdr:from>
    <xdr:to>
      <xdr:col>11</xdr:col>
      <xdr:colOff>9525</xdr:colOff>
      <xdr:row>95</xdr:row>
      <xdr:rowOff>76200</xdr:rowOff>
    </xdr:to>
    <xdr:cxnSp macro="">
      <xdr:nvCxnSpPr>
        <xdr:cNvPr id="75" name="74 Conector recto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>
          <a:off x="6200775" y="56673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96</xdr:row>
      <xdr:rowOff>85725</xdr:rowOff>
    </xdr:from>
    <xdr:to>
      <xdr:col>11</xdr:col>
      <xdr:colOff>9525</xdr:colOff>
      <xdr:row>96</xdr:row>
      <xdr:rowOff>85725</xdr:rowOff>
    </xdr:to>
    <xdr:cxnSp macro="">
      <xdr:nvCxnSpPr>
        <xdr:cNvPr id="76" name="75 Conector recto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CxnSpPr/>
      </xdr:nvCxnSpPr>
      <xdr:spPr>
        <a:xfrm>
          <a:off x="6200775" y="58197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97</xdr:row>
      <xdr:rowOff>85725</xdr:rowOff>
    </xdr:from>
    <xdr:to>
      <xdr:col>11</xdr:col>
      <xdr:colOff>9525</xdr:colOff>
      <xdr:row>97</xdr:row>
      <xdr:rowOff>85725</xdr:rowOff>
    </xdr:to>
    <xdr:cxnSp macro="">
      <xdr:nvCxnSpPr>
        <xdr:cNvPr id="77" name="76 Conector recto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/>
      </xdr:nvCxnSpPr>
      <xdr:spPr>
        <a:xfrm>
          <a:off x="6200775" y="596265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98</xdr:row>
      <xdr:rowOff>85725</xdr:rowOff>
    </xdr:from>
    <xdr:to>
      <xdr:col>11</xdr:col>
      <xdr:colOff>9525</xdr:colOff>
      <xdr:row>98</xdr:row>
      <xdr:rowOff>85725</xdr:rowOff>
    </xdr:to>
    <xdr:cxnSp macro="">
      <xdr:nvCxnSpPr>
        <xdr:cNvPr id="78" name="77 Conector rect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CxnSpPr/>
      </xdr:nvCxnSpPr>
      <xdr:spPr>
        <a:xfrm>
          <a:off x="6200775" y="61055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78</xdr:row>
      <xdr:rowOff>47625</xdr:rowOff>
    </xdr:from>
    <xdr:to>
      <xdr:col>8</xdr:col>
      <xdr:colOff>314325</xdr:colOff>
      <xdr:row>78</xdr:row>
      <xdr:rowOff>104775</xdr:rowOff>
    </xdr:to>
    <xdr:sp macro="" textlink="">
      <xdr:nvSpPr>
        <xdr:cNvPr id="79" name="78 Elipse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6457950" y="32099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238125</xdr:colOff>
      <xdr:row>79</xdr:row>
      <xdr:rowOff>47625</xdr:rowOff>
    </xdr:from>
    <xdr:to>
      <xdr:col>9</xdr:col>
      <xdr:colOff>285750</xdr:colOff>
      <xdr:row>79</xdr:row>
      <xdr:rowOff>104775</xdr:rowOff>
    </xdr:to>
    <xdr:sp macro="" textlink="">
      <xdr:nvSpPr>
        <xdr:cNvPr id="80" name="79 Elipse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6981825" y="335280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266700</xdr:colOff>
      <xdr:row>80</xdr:row>
      <xdr:rowOff>104775</xdr:rowOff>
    </xdr:to>
    <xdr:sp macro="" textlink="">
      <xdr:nvSpPr>
        <xdr:cNvPr id="81" name="80 Elipse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7515225" y="34956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266700</xdr:colOff>
      <xdr:row>81</xdr:row>
      <xdr:rowOff>57150</xdr:rowOff>
    </xdr:from>
    <xdr:to>
      <xdr:col>8</xdr:col>
      <xdr:colOff>314325</xdr:colOff>
      <xdr:row>81</xdr:row>
      <xdr:rowOff>114300</xdr:rowOff>
    </xdr:to>
    <xdr:sp macro="" textlink="">
      <xdr:nvSpPr>
        <xdr:cNvPr id="82" name="81 Elipse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6457950" y="36480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238125</xdr:colOff>
      <xdr:row>82</xdr:row>
      <xdr:rowOff>57150</xdr:rowOff>
    </xdr:from>
    <xdr:to>
      <xdr:col>9</xdr:col>
      <xdr:colOff>285750</xdr:colOff>
      <xdr:row>82</xdr:row>
      <xdr:rowOff>114300</xdr:rowOff>
    </xdr:to>
    <xdr:sp macro="" textlink="">
      <xdr:nvSpPr>
        <xdr:cNvPr id="83" name="82 Elipse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6981825" y="379095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219075</xdr:colOff>
      <xdr:row>83</xdr:row>
      <xdr:rowOff>57150</xdr:rowOff>
    </xdr:from>
    <xdr:to>
      <xdr:col>10</xdr:col>
      <xdr:colOff>266700</xdr:colOff>
      <xdr:row>83</xdr:row>
      <xdr:rowOff>114300</xdr:rowOff>
    </xdr:to>
    <xdr:sp macro="" textlink="">
      <xdr:nvSpPr>
        <xdr:cNvPr id="84" name="83 Elipse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7515225" y="39338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276225</xdr:colOff>
      <xdr:row>84</xdr:row>
      <xdr:rowOff>47625</xdr:rowOff>
    </xdr:from>
    <xdr:to>
      <xdr:col>8</xdr:col>
      <xdr:colOff>323850</xdr:colOff>
      <xdr:row>84</xdr:row>
      <xdr:rowOff>104775</xdr:rowOff>
    </xdr:to>
    <xdr:sp macro="" textlink="">
      <xdr:nvSpPr>
        <xdr:cNvPr id="85" name="84 Elipse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6467475" y="40671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247650</xdr:colOff>
      <xdr:row>85</xdr:row>
      <xdr:rowOff>47625</xdr:rowOff>
    </xdr:from>
    <xdr:to>
      <xdr:col>9</xdr:col>
      <xdr:colOff>295275</xdr:colOff>
      <xdr:row>85</xdr:row>
      <xdr:rowOff>104775</xdr:rowOff>
    </xdr:to>
    <xdr:sp macro="" textlink="">
      <xdr:nvSpPr>
        <xdr:cNvPr id="86" name="85 Elipse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>
        <a:xfrm>
          <a:off x="6991350" y="421005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228600</xdr:colOff>
      <xdr:row>86</xdr:row>
      <xdr:rowOff>47625</xdr:rowOff>
    </xdr:from>
    <xdr:to>
      <xdr:col>10</xdr:col>
      <xdr:colOff>276225</xdr:colOff>
      <xdr:row>86</xdr:row>
      <xdr:rowOff>104775</xdr:rowOff>
    </xdr:to>
    <xdr:sp macro="" textlink="">
      <xdr:nvSpPr>
        <xdr:cNvPr id="87" name="86 Elipse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>
        <a:xfrm>
          <a:off x="7524750" y="43529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266700</xdr:colOff>
      <xdr:row>87</xdr:row>
      <xdr:rowOff>57150</xdr:rowOff>
    </xdr:from>
    <xdr:to>
      <xdr:col>8</xdr:col>
      <xdr:colOff>314325</xdr:colOff>
      <xdr:row>87</xdr:row>
      <xdr:rowOff>114300</xdr:rowOff>
    </xdr:to>
    <xdr:sp macro="" textlink="">
      <xdr:nvSpPr>
        <xdr:cNvPr id="88" name="87 Elipse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>
        <a:xfrm>
          <a:off x="6457950" y="45053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238125</xdr:colOff>
      <xdr:row>88</xdr:row>
      <xdr:rowOff>57150</xdr:rowOff>
    </xdr:from>
    <xdr:to>
      <xdr:col>9</xdr:col>
      <xdr:colOff>285750</xdr:colOff>
      <xdr:row>88</xdr:row>
      <xdr:rowOff>114300</xdr:rowOff>
    </xdr:to>
    <xdr:sp macro="" textlink="">
      <xdr:nvSpPr>
        <xdr:cNvPr id="89" name="88 Elipse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6981825" y="464820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219075</xdr:colOff>
      <xdr:row>89</xdr:row>
      <xdr:rowOff>57150</xdr:rowOff>
    </xdr:from>
    <xdr:to>
      <xdr:col>10</xdr:col>
      <xdr:colOff>266700</xdr:colOff>
      <xdr:row>89</xdr:row>
      <xdr:rowOff>114300</xdr:rowOff>
    </xdr:to>
    <xdr:sp macro="" textlink="">
      <xdr:nvSpPr>
        <xdr:cNvPr id="90" name="89 Elipse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7515225" y="47910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266700</xdr:colOff>
      <xdr:row>90</xdr:row>
      <xdr:rowOff>47625</xdr:rowOff>
    </xdr:from>
    <xdr:to>
      <xdr:col>8</xdr:col>
      <xdr:colOff>314325</xdr:colOff>
      <xdr:row>90</xdr:row>
      <xdr:rowOff>104775</xdr:rowOff>
    </xdr:to>
    <xdr:sp macro="" textlink="">
      <xdr:nvSpPr>
        <xdr:cNvPr id="91" name="90 Elipse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6457950" y="49244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238125</xdr:colOff>
      <xdr:row>91</xdr:row>
      <xdr:rowOff>47625</xdr:rowOff>
    </xdr:from>
    <xdr:to>
      <xdr:col>9</xdr:col>
      <xdr:colOff>285750</xdr:colOff>
      <xdr:row>91</xdr:row>
      <xdr:rowOff>104775</xdr:rowOff>
    </xdr:to>
    <xdr:sp macro="" textlink="">
      <xdr:nvSpPr>
        <xdr:cNvPr id="92" name="91 Elipse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6981825" y="506730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266700</xdr:colOff>
      <xdr:row>92</xdr:row>
      <xdr:rowOff>104775</xdr:rowOff>
    </xdr:to>
    <xdr:sp macro="" textlink="">
      <xdr:nvSpPr>
        <xdr:cNvPr id="93" name="92 Elipse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7515225" y="52101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276225</xdr:colOff>
      <xdr:row>93</xdr:row>
      <xdr:rowOff>47625</xdr:rowOff>
    </xdr:from>
    <xdr:to>
      <xdr:col>8</xdr:col>
      <xdr:colOff>323850</xdr:colOff>
      <xdr:row>93</xdr:row>
      <xdr:rowOff>104775</xdr:rowOff>
    </xdr:to>
    <xdr:sp macro="" textlink="">
      <xdr:nvSpPr>
        <xdr:cNvPr id="94" name="93 Elipse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6467475" y="535305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247650</xdr:colOff>
      <xdr:row>94</xdr:row>
      <xdr:rowOff>47625</xdr:rowOff>
    </xdr:from>
    <xdr:to>
      <xdr:col>9</xdr:col>
      <xdr:colOff>295275</xdr:colOff>
      <xdr:row>94</xdr:row>
      <xdr:rowOff>104775</xdr:rowOff>
    </xdr:to>
    <xdr:sp macro="" textlink="">
      <xdr:nvSpPr>
        <xdr:cNvPr id="95" name="94 Elipse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6991350" y="549592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228600</xdr:colOff>
      <xdr:row>95</xdr:row>
      <xdr:rowOff>47625</xdr:rowOff>
    </xdr:from>
    <xdr:to>
      <xdr:col>10</xdr:col>
      <xdr:colOff>276225</xdr:colOff>
      <xdr:row>95</xdr:row>
      <xdr:rowOff>104775</xdr:rowOff>
    </xdr:to>
    <xdr:sp macro="" textlink="">
      <xdr:nvSpPr>
        <xdr:cNvPr id="96" name="95 Elipse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/>
      </xdr:nvSpPr>
      <xdr:spPr>
        <a:xfrm>
          <a:off x="7524750" y="563880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276225</xdr:colOff>
      <xdr:row>96</xdr:row>
      <xdr:rowOff>57150</xdr:rowOff>
    </xdr:from>
    <xdr:to>
      <xdr:col>8</xdr:col>
      <xdr:colOff>323850</xdr:colOff>
      <xdr:row>96</xdr:row>
      <xdr:rowOff>114300</xdr:rowOff>
    </xdr:to>
    <xdr:sp macro="" textlink="">
      <xdr:nvSpPr>
        <xdr:cNvPr id="97" name="96 Elipse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6467475" y="579120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247650</xdr:colOff>
      <xdr:row>97</xdr:row>
      <xdr:rowOff>57150</xdr:rowOff>
    </xdr:from>
    <xdr:to>
      <xdr:col>9</xdr:col>
      <xdr:colOff>295275</xdr:colOff>
      <xdr:row>97</xdr:row>
      <xdr:rowOff>114300</xdr:rowOff>
    </xdr:to>
    <xdr:sp macro="" textlink="">
      <xdr:nvSpPr>
        <xdr:cNvPr id="98" name="97 Elipse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/>
      </xdr:nvSpPr>
      <xdr:spPr>
        <a:xfrm>
          <a:off x="6991350" y="5934075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</xdr:col>
      <xdr:colOff>228600</xdr:colOff>
      <xdr:row>98</xdr:row>
      <xdr:rowOff>57150</xdr:rowOff>
    </xdr:from>
    <xdr:to>
      <xdr:col>10</xdr:col>
      <xdr:colOff>276225</xdr:colOff>
      <xdr:row>98</xdr:row>
      <xdr:rowOff>114300</xdr:rowOff>
    </xdr:to>
    <xdr:sp macro="" textlink="">
      <xdr:nvSpPr>
        <xdr:cNvPr id="99" name="98 Elipse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7524750" y="6076950"/>
          <a:ext cx="47625" cy="571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Q95"/>
  <sheetViews>
    <sheetView tabSelected="1" topLeftCell="B1" workbookViewId="0">
      <pane ySplit="1" topLeftCell="A2" activePane="bottomLeft" state="frozen"/>
      <selection pane="bottomLeft" activeCell="N5" sqref="N5"/>
    </sheetView>
  </sheetViews>
  <sheetFormatPr baseColWidth="10" defaultRowHeight="11.25" x14ac:dyDescent="0.2"/>
  <cols>
    <col min="1" max="1" width="11.42578125" style="18"/>
    <col min="2" max="2" width="11" style="18" bestFit="1" customWidth="1"/>
    <col min="3" max="3" width="27.140625" style="18" customWidth="1"/>
    <col min="4" max="4" width="10" style="18"/>
    <col min="5" max="5" width="10.140625" style="18" customWidth="1"/>
    <col min="6" max="7" width="10" style="18"/>
    <col min="8" max="8" width="21.140625" style="18" customWidth="1"/>
    <col min="9" max="9" width="7.140625" style="18" bestFit="1" customWidth="1"/>
    <col min="10" max="10" width="6.85546875" style="18" bestFit="1" customWidth="1"/>
    <col min="11" max="11" width="6.7109375" style="18" bestFit="1" customWidth="1"/>
    <col min="12" max="12" width="6.85546875" style="18" bestFit="1" customWidth="1"/>
    <col min="13" max="13" width="6.42578125" style="18" bestFit="1" customWidth="1"/>
    <col min="14" max="14" width="11.5703125" style="18" bestFit="1" customWidth="1"/>
    <col min="15" max="17" width="10.85546875" style="18" customWidth="1"/>
    <col min="18" max="16384" width="11.42578125" style="18"/>
  </cols>
  <sheetData>
    <row r="1" spans="1:17" s="13" customFormat="1" ht="22.5" x14ac:dyDescent="0.2">
      <c r="A1" s="131" t="s">
        <v>35</v>
      </c>
      <c r="B1" s="131"/>
      <c r="C1" s="131"/>
      <c r="D1" s="131"/>
      <c r="E1" s="131"/>
      <c r="F1" s="131"/>
      <c r="G1" s="131"/>
      <c r="I1" s="14" t="s">
        <v>36</v>
      </c>
      <c r="J1" s="14" t="s">
        <v>37</v>
      </c>
      <c r="K1" s="14" t="s">
        <v>38</v>
      </c>
      <c r="L1" s="14" t="s">
        <v>39</v>
      </c>
      <c r="M1" s="14" t="s">
        <v>40</v>
      </c>
      <c r="N1" s="14" t="s">
        <v>88</v>
      </c>
      <c r="O1" s="15" t="s">
        <v>41</v>
      </c>
      <c r="P1" s="15" t="s">
        <v>42</v>
      </c>
      <c r="Q1" s="15" t="s">
        <v>43</v>
      </c>
    </row>
    <row r="2" spans="1:17" x14ac:dyDescent="0.2">
      <c r="A2" s="16" t="s">
        <v>44</v>
      </c>
      <c r="B2" s="16" t="s">
        <v>45</v>
      </c>
      <c r="C2" s="16" t="s">
        <v>40</v>
      </c>
      <c r="D2" s="17"/>
      <c r="E2" s="17"/>
      <c r="F2" s="17"/>
      <c r="G2" s="17"/>
      <c r="I2" s="19">
        <v>12</v>
      </c>
      <c r="J2" s="20">
        <f t="shared" ref="J2:J8" si="0">$B$13</f>
        <v>3.8687299999999998</v>
      </c>
      <c r="K2" s="19">
        <f>$B$3</f>
        <v>1</v>
      </c>
      <c r="L2" s="19">
        <f t="shared" ref="L2:L8" si="1">$C$13</f>
        <v>0.12162000000000001</v>
      </c>
      <c r="M2" s="19">
        <f>$C$3</f>
        <v>0</v>
      </c>
      <c r="N2" s="20">
        <f>(J2*K2+L2*M2)*1000</f>
        <v>3868.7299999999996</v>
      </c>
      <c r="O2" s="21">
        <f>N2/(10*$A$5^2)</f>
        <v>2.6644146005509644E-3</v>
      </c>
      <c r="P2" s="21">
        <f>O2*2</f>
        <v>5.3288292011019287E-3</v>
      </c>
      <c r="Q2" s="21">
        <f>O2*6</f>
        <v>1.5986487603305788E-2</v>
      </c>
    </row>
    <row r="3" spans="1:17" x14ac:dyDescent="0.2">
      <c r="A3" s="34">
        <v>220</v>
      </c>
      <c r="B3" s="22">
        <v>1</v>
      </c>
      <c r="C3" s="22">
        <f>SIN(ACOS(B3))</f>
        <v>0</v>
      </c>
      <c r="I3" s="19">
        <v>12</v>
      </c>
      <c r="J3" s="20">
        <f t="shared" si="0"/>
        <v>3.8687299999999998</v>
      </c>
      <c r="K3" s="19">
        <f>+$B$4</f>
        <v>0.95</v>
      </c>
      <c r="L3" s="19">
        <f t="shared" si="1"/>
        <v>0.12162000000000001</v>
      </c>
      <c r="M3" s="19">
        <f>+$C$4</f>
        <v>0.31224989991992003</v>
      </c>
      <c r="N3" s="20">
        <f t="shared" ref="N3:N64" si="2">(J3*K3+L3*M3)*1000</f>
        <v>3713.2693328282603</v>
      </c>
      <c r="O3" s="21">
        <f t="shared" ref="O3:O64" si="3">N3/(10*$A$5^2)</f>
        <v>2.5573480253638162E-3</v>
      </c>
      <c r="P3" s="21">
        <f t="shared" ref="P3:P64" si="4">O3*2</f>
        <v>5.1146960507276323E-3</v>
      </c>
      <c r="Q3" s="21">
        <f t="shared" ref="Q3:Q64" si="5">O3*6</f>
        <v>1.5344088152182897E-2</v>
      </c>
    </row>
    <row r="4" spans="1:17" x14ac:dyDescent="0.2">
      <c r="A4" s="23" t="s">
        <v>46</v>
      </c>
      <c r="B4" s="22">
        <v>0.95</v>
      </c>
      <c r="C4" s="22">
        <f t="shared" ref="C4:C9" si="6">SIN(ACOS(B4))</f>
        <v>0.31224989991992003</v>
      </c>
      <c r="I4" s="19">
        <v>8</v>
      </c>
      <c r="J4" s="20">
        <f>$B$13</f>
        <v>3.8687299999999998</v>
      </c>
      <c r="K4" s="19">
        <f>+$B$5</f>
        <v>0.9</v>
      </c>
      <c r="L4" s="19">
        <f t="shared" si="1"/>
        <v>0.12162000000000001</v>
      </c>
      <c r="M4" s="19">
        <f>+$C$5</f>
        <v>0.43588989435406728</v>
      </c>
      <c r="N4" s="20">
        <f>(J4*K4+L4*M4)*1000</f>
        <v>3534.8699289513411</v>
      </c>
      <c r="O4" s="21">
        <f>N4/(10*$A$5^2)</f>
        <v>2.4344834221427972E-3</v>
      </c>
      <c r="P4" s="21">
        <f>O4*2</f>
        <v>4.8689668442855943E-3</v>
      </c>
      <c r="Q4" s="21">
        <f>O4*6</f>
        <v>1.4606900532856782E-2</v>
      </c>
    </row>
    <row r="5" spans="1:17" x14ac:dyDescent="0.2">
      <c r="A5" s="24">
        <f>A3*SQRT(3)</f>
        <v>381.05117766515298</v>
      </c>
      <c r="B5" s="22">
        <v>0.9</v>
      </c>
      <c r="C5" s="22">
        <f t="shared" si="6"/>
        <v>0.43588989435406728</v>
      </c>
      <c r="I5" s="19">
        <v>8</v>
      </c>
      <c r="J5" s="20">
        <f t="shared" si="0"/>
        <v>3.8687299999999998</v>
      </c>
      <c r="K5" s="19">
        <f>+$B$6</f>
        <v>0.85</v>
      </c>
      <c r="L5" s="19">
        <f t="shared" si="1"/>
        <v>0.12162000000000001</v>
      </c>
      <c r="M5" s="19">
        <f>+$C$6</f>
        <v>0.52678268764263692</v>
      </c>
      <c r="N5" s="20">
        <f t="shared" si="2"/>
        <v>3352.487810471097</v>
      </c>
      <c r="O5" s="21">
        <f t="shared" si="3"/>
        <v>2.308875902528304E-3</v>
      </c>
      <c r="P5" s="21">
        <f t="shared" si="4"/>
        <v>4.617751805056608E-3</v>
      </c>
      <c r="Q5" s="21">
        <f t="shared" si="5"/>
        <v>1.3853255415169824E-2</v>
      </c>
    </row>
    <row r="6" spans="1:17" x14ac:dyDescent="0.2">
      <c r="B6" s="22">
        <v>0.85</v>
      </c>
      <c r="C6" s="22">
        <f t="shared" si="6"/>
        <v>0.52678268764263692</v>
      </c>
      <c r="I6" s="19">
        <v>8</v>
      </c>
      <c r="J6" s="20">
        <f t="shared" si="0"/>
        <v>3.8687299999999998</v>
      </c>
      <c r="K6" s="19">
        <f>+$B$7</f>
        <v>0.8</v>
      </c>
      <c r="L6" s="19">
        <f t="shared" si="1"/>
        <v>0.12162000000000001</v>
      </c>
      <c r="M6" s="19">
        <f>+$C$7</f>
        <v>0.59999999999999987</v>
      </c>
      <c r="N6" s="20">
        <f t="shared" si="2"/>
        <v>3167.9560000000001</v>
      </c>
      <c r="O6" s="21">
        <f t="shared" si="3"/>
        <v>2.1817878787878794E-3</v>
      </c>
      <c r="P6" s="21">
        <f t="shared" si="4"/>
        <v>4.3635757575757588E-3</v>
      </c>
      <c r="Q6" s="21">
        <f t="shared" si="5"/>
        <v>1.3090727272727276E-2</v>
      </c>
    </row>
    <row r="7" spans="1:17" x14ac:dyDescent="0.2">
      <c r="B7" s="22">
        <v>0.8</v>
      </c>
      <c r="C7" s="22">
        <f t="shared" si="6"/>
        <v>0.59999999999999987</v>
      </c>
      <c r="I7" s="19">
        <v>8</v>
      </c>
      <c r="J7" s="20">
        <f t="shared" si="0"/>
        <v>3.8687299999999998</v>
      </c>
      <c r="K7" s="19">
        <f>+$B$8</f>
        <v>0.75</v>
      </c>
      <c r="L7" s="19">
        <f t="shared" si="1"/>
        <v>0.12162000000000001</v>
      </c>
      <c r="M7" s="19">
        <f>+$C$8</f>
        <v>0.66143782776614757</v>
      </c>
      <c r="N7" s="20">
        <f t="shared" si="2"/>
        <v>2981.9915686129189</v>
      </c>
      <c r="O7" s="21">
        <f t="shared" si="3"/>
        <v>2.0537132015240492E-3</v>
      </c>
      <c r="P7" s="21">
        <f t="shared" si="4"/>
        <v>4.1074264030480983E-3</v>
      </c>
      <c r="Q7" s="21">
        <f t="shared" si="5"/>
        <v>1.2322279209144294E-2</v>
      </c>
    </row>
    <row r="8" spans="1:17" x14ac:dyDescent="0.2">
      <c r="B8" s="22">
        <v>0.75</v>
      </c>
      <c r="C8" s="22">
        <f t="shared" si="6"/>
        <v>0.66143782776614757</v>
      </c>
      <c r="I8" s="19">
        <v>8</v>
      </c>
      <c r="J8" s="20">
        <f t="shared" si="0"/>
        <v>3.8687299999999998</v>
      </c>
      <c r="K8" s="19">
        <f>+$B$9</f>
        <v>0.7</v>
      </c>
      <c r="L8" s="19">
        <f t="shared" si="1"/>
        <v>0.12162000000000001</v>
      </c>
      <c r="M8" s="19">
        <f>+$C$9</f>
        <v>0.71414284285428498</v>
      </c>
      <c r="N8" s="20">
        <f t="shared" si="2"/>
        <v>2794.9650525479378</v>
      </c>
      <c r="O8" s="21">
        <f t="shared" si="3"/>
        <v>1.9249070609834286E-3</v>
      </c>
      <c r="P8" s="21">
        <f t="shared" si="4"/>
        <v>3.8498141219668572E-3</v>
      </c>
      <c r="Q8" s="21">
        <f t="shared" si="5"/>
        <v>1.1549442365900572E-2</v>
      </c>
    </row>
    <row r="9" spans="1:17" x14ac:dyDescent="0.2">
      <c r="B9" s="22">
        <v>0.7</v>
      </c>
      <c r="C9" s="22">
        <f t="shared" si="6"/>
        <v>0.71414284285428498</v>
      </c>
      <c r="I9" s="19">
        <v>6</v>
      </c>
      <c r="J9" s="20">
        <f t="shared" ref="J9:J15" si="7">$B$14</f>
        <v>2.4338099999999998</v>
      </c>
      <c r="K9" s="19">
        <f>+$B$3</f>
        <v>1</v>
      </c>
      <c r="L9" s="19">
        <f t="shared" ref="L9:L15" si="8">$C$14</f>
        <v>0.11421000000000001</v>
      </c>
      <c r="M9" s="19">
        <f>+$C$3</f>
        <v>0</v>
      </c>
      <c r="N9" s="20">
        <f t="shared" si="2"/>
        <v>2433.81</v>
      </c>
      <c r="O9" s="21">
        <f t="shared" si="3"/>
        <v>1.6761776859504135E-3</v>
      </c>
      <c r="P9" s="21">
        <f t="shared" si="4"/>
        <v>3.352355371900827E-3</v>
      </c>
      <c r="Q9" s="21">
        <f t="shared" si="5"/>
        <v>1.0057066115702481E-2</v>
      </c>
    </row>
    <row r="10" spans="1:17" x14ac:dyDescent="0.2">
      <c r="I10" s="19">
        <v>6</v>
      </c>
      <c r="J10" s="20">
        <f t="shared" si="7"/>
        <v>2.4338099999999998</v>
      </c>
      <c r="K10" s="19">
        <f>+$B$4</f>
        <v>0.95</v>
      </c>
      <c r="L10" s="19">
        <f t="shared" si="8"/>
        <v>0.11421000000000001</v>
      </c>
      <c r="M10" s="19">
        <f>+$C$4</f>
        <v>0.31224989991992003</v>
      </c>
      <c r="N10" s="20">
        <f t="shared" si="2"/>
        <v>2347.7815610698535</v>
      </c>
      <c r="O10" s="21">
        <f t="shared" si="3"/>
        <v>1.6169294497726267E-3</v>
      </c>
      <c r="P10" s="21">
        <f t="shared" si="4"/>
        <v>3.2338588995452534E-3</v>
      </c>
      <c r="Q10" s="21">
        <f t="shared" si="5"/>
        <v>9.7015766986357603E-3</v>
      </c>
    </row>
    <row r="11" spans="1:17" x14ac:dyDescent="0.2">
      <c r="A11" s="131" t="s">
        <v>47</v>
      </c>
      <c r="B11" s="132" t="s">
        <v>127</v>
      </c>
      <c r="C11" s="132"/>
      <c r="D11" s="99"/>
      <c r="E11" s="17"/>
      <c r="F11" s="17"/>
      <c r="G11" s="17"/>
      <c r="I11" s="19">
        <v>6</v>
      </c>
      <c r="J11" s="20">
        <f t="shared" si="7"/>
        <v>2.4338099999999998</v>
      </c>
      <c r="K11" s="19">
        <f>+$B$5</f>
        <v>0.9</v>
      </c>
      <c r="L11" s="19">
        <f t="shared" si="8"/>
        <v>0.11421000000000001</v>
      </c>
      <c r="M11" s="19">
        <f>+$C$5</f>
        <v>0.43588989435406728</v>
      </c>
      <c r="N11" s="20">
        <f t="shared" si="2"/>
        <v>2240.2119848341781</v>
      </c>
      <c r="O11" s="21">
        <f t="shared" si="3"/>
        <v>1.5428457195827674E-3</v>
      </c>
      <c r="P11" s="21">
        <f t="shared" si="4"/>
        <v>3.0856914391655349E-3</v>
      </c>
      <c r="Q11" s="21">
        <f t="shared" si="5"/>
        <v>9.2570743174966042E-3</v>
      </c>
    </row>
    <row r="12" spans="1:17" x14ac:dyDescent="0.2">
      <c r="A12" s="131"/>
      <c r="B12" s="25" t="s">
        <v>37</v>
      </c>
      <c r="C12" s="100" t="s">
        <v>39</v>
      </c>
      <c r="D12" s="102"/>
      <c r="E12" s="26"/>
      <c r="F12" s="26"/>
      <c r="G12" s="26"/>
      <c r="I12" s="19">
        <v>6</v>
      </c>
      <c r="J12" s="20">
        <f t="shared" si="7"/>
        <v>2.4338099999999998</v>
      </c>
      <c r="K12" s="19">
        <f>+$B$6</f>
        <v>0.85</v>
      </c>
      <c r="L12" s="19">
        <f t="shared" si="8"/>
        <v>0.11421000000000001</v>
      </c>
      <c r="M12" s="19">
        <f>+$C$6</f>
        <v>0.52678268764263692</v>
      </c>
      <c r="N12" s="20">
        <f t="shared" si="2"/>
        <v>2128.9023507556653</v>
      </c>
      <c r="O12" s="21">
        <f t="shared" si="3"/>
        <v>1.4661861919804859E-3</v>
      </c>
      <c r="P12" s="21">
        <f t="shared" si="4"/>
        <v>2.9323723839609719E-3</v>
      </c>
      <c r="Q12" s="21">
        <f t="shared" si="5"/>
        <v>8.7971171518829161E-3</v>
      </c>
    </row>
    <row r="13" spans="1:17" x14ac:dyDescent="0.2">
      <c r="A13" s="23">
        <v>8</v>
      </c>
      <c r="B13" s="27">
        <v>3.8687299999999998</v>
      </c>
      <c r="C13" s="101">
        <v>0.12162000000000001</v>
      </c>
      <c r="D13" s="102"/>
      <c r="I13" s="19">
        <v>6</v>
      </c>
      <c r="J13" s="20">
        <f t="shared" si="7"/>
        <v>2.4338099999999998</v>
      </c>
      <c r="K13" s="19">
        <f>+$B$7</f>
        <v>0.8</v>
      </c>
      <c r="L13" s="19">
        <f t="shared" si="8"/>
        <v>0.11421000000000001</v>
      </c>
      <c r="M13" s="19">
        <f>+$C$7</f>
        <v>0.59999999999999987</v>
      </c>
      <c r="N13" s="20">
        <f t="shared" si="2"/>
        <v>2015.5740000000001</v>
      </c>
      <c r="O13" s="21">
        <f t="shared" si="3"/>
        <v>1.388136363636364E-3</v>
      </c>
      <c r="P13" s="21">
        <f t="shared" si="4"/>
        <v>2.7762727272727279E-3</v>
      </c>
      <c r="Q13" s="21">
        <f t="shared" si="5"/>
        <v>8.3288181818181838E-3</v>
      </c>
    </row>
    <row r="14" spans="1:17" x14ac:dyDescent="0.2">
      <c r="A14" s="23">
        <v>6</v>
      </c>
      <c r="B14" s="27">
        <v>2.4338099999999998</v>
      </c>
      <c r="C14" s="101">
        <v>0.11421000000000001</v>
      </c>
      <c r="D14" s="102"/>
      <c r="I14" s="19">
        <v>6</v>
      </c>
      <c r="J14" s="20">
        <f t="shared" si="7"/>
        <v>2.4338099999999998</v>
      </c>
      <c r="K14" s="19">
        <f>+$B$8</f>
        <v>0.75</v>
      </c>
      <c r="L14" s="19">
        <f t="shared" si="8"/>
        <v>0.11421000000000001</v>
      </c>
      <c r="M14" s="19">
        <f>+$C$8</f>
        <v>0.66143782776614757</v>
      </c>
      <c r="N14" s="20">
        <f t="shared" si="2"/>
        <v>1900.9003143091716</v>
      </c>
      <c r="O14" s="21">
        <f t="shared" si="3"/>
        <v>1.3091599960806969E-3</v>
      </c>
      <c r="P14" s="21">
        <f t="shared" si="4"/>
        <v>2.6183199921613939E-3</v>
      </c>
      <c r="Q14" s="21">
        <f t="shared" si="5"/>
        <v>7.8549599764841816E-3</v>
      </c>
    </row>
    <row r="15" spans="1:17" x14ac:dyDescent="0.2">
      <c r="A15" s="23">
        <v>4</v>
      </c>
      <c r="B15" s="27">
        <v>1.5304800000000001</v>
      </c>
      <c r="C15" s="101">
        <v>0.10783</v>
      </c>
      <c r="D15" s="102"/>
      <c r="I15" s="19">
        <v>6</v>
      </c>
      <c r="J15" s="20">
        <f t="shared" si="7"/>
        <v>2.4338099999999998</v>
      </c>
      <c r="K15" s="19">
        <f>+$B$9</f>
        <v>0.7</v>
      </c>
      <c r="L15" s="19">
        <f t="shared" si="8"/>
        <v>0.11421000000000001</v>
      </c>
      <c r="M15" s="19">
        <f>+$C$9</f>
        <v>0.71414284285428498</v>
      </c>
      <c r="N15" s="20">
        <f t="shared" si="2"/>
        <v>1785.2292540823878</v>
      </c>
      <c r="O15" s="21">
        <f t="shared" si="3"/>
        <v>1.2294967314616999E-3</v>
      </c>
      <c r="P15" s="21">
        <f t="shared" si="4"/>
        <v>2.4589934629233997E-3</v>
      </c>
      <c r="Q15" s="21">
        <f t="shared" si="5"/>
        <v>7.3769803887701992E-3</v>
      </c>
    </row>
    <row r="16" spans="1:17" x14ac:dyDescent="0.2">
      <c r="A16" s="23">
        <v>2</v>
      </c>
      <c r="B16" s="27">
        <v>0.96252000000000004</v>
      </c>
      <c r="C16" s="101">
        <v>0.1023</v>
      </c>
      <c r="D16" s="102"/>
      <c r="I16" s="19">
        <v>4</v>
      </c>
      <c r="J16" s="20">
        <f t="shared" ref="J16:J22" si="9">$B$15</f>
        <v>1.5304800000000001</v>
      </c>
      <c r="K16" s="19">
        <f>+$B$3</f>
        <v>1</v>
      </c>
      <c r="L16" s="19">
        <f t="shared" ref="L16:L22" si="10">$C$15</f>
        <v>0.10783</v>
      </c>
      <c r="M16" s="19">
        <f>+$C$3</f>
        <v>0</v>
      </c>
      <c r="N16" s="20">
        <f t="shared" si="2"/>
        <v>1530.48</v>
      </c>
      <c r="O16" s="21">
        <f t="shared" si="3"/>
        <v>1.0540495867768598E-3</v>
      </c>
      <c r="P16" s="21">
        <f t="shared" si="4"/>
        <v>2.1080991735537196E-3</v>
      </c>
      <c r="Q16" s="21">
        <f t="shared" si="5"/>
        <v>6.3242975206611587E-3</v>
      </c>
    </row>
    <row r="17" spans="1:17" x14ac:dyDescent="0.2">
      <c r="A17" s="23">
        <v>1</v>
      </c>
      <c r="B17" s="27">
        <v>0.76326000000000005</v>
      </c>
      <c r="C17" s="101">
        <v>0.1023</v>
      </c>
      <c r="D17" s="102"/>
      <c r="I17" s="19">
        <v>4</v>
      </c>
      <c r="J17" s="20">
        <f t="shared" si="9"/>
        <v>1.5304800000000001</v>
      </c>
      <c r="K17" s="19">
        <f>+$B$4</f>
        <v>0.95</v>
      </c>
      <c r="L17" s="19">
        <f t="shared" si="10"/>
        <v>0.10783</v>
      </c>
      <c r="M17" s="19">
        <f>+$C$4</f>
        <v>0.31224989991992003</v>
      </c>
      <c r="N17" s="20">
        <f t="shared" si="2"/>
        <v>1487.6259067083649</v>
      </c>
      <c r="O17" s="21">
        <f t="shared" si="3"/>
        <v>1.0245357484217391E-3</v>
      </c>
      <c r="P17" s="21">
        <f t="shared" si="4"/>
        <v>2.0490714968434782E-3</v>
      </c>
      <c r="Q17" s="21">
        <f t="shared" si="5"/>
        <v>6.1472144905304347E-3</v>
      </c>
    </row>
    <row r="18" spans="1:17" x14ac:dyDescent="0.2">
      <c r="A18" s="23" t="s">
        <v>8</v>
      </c>
      <c r="B18" s="27">
        <v>0.60526999999999997</v>
      </c>
      <c r="C18" s="101">
        <v>0.10005</v>
      </c>
      <c r="D18" s="102"/>
      <c r="I18" s="19">
        <v>4</v>
      </c>
      <c r="J18" s="20">
        <f t="shared" si="9"/>
        <v>1.5304800000000001</v>
      </c>
      <c r="K18" s="19">
        <f>+$B$5</f>
        <v>0.9</v>
      </c>
      <c r="L18" s="19">
        <f t="shared" si="10"/>
        <v>0.10783</v>
      </c>
      <c r="M18" s="19">
        <f>+$C$5</f>
        <v>0.43588989435406728</v>
      </c>
      <c r="N18" s="20">
        <f t="shared" si="2"/>
        <v>1424.4340073081992</v>
      </c>
      <c r="O18" s="21">
        <f t="shared" si="3"/>
        <v>9.8101515654834678E-4</v>
      </c>
      <c r="P18" s="21">
        <f t="shared" si="4"/>
        <v>1.9620303130966936E-3</v>
      </c>
      <c r="Q18" s="21">
        <f t="shared" si="5"/>
        <v>5.8860909392900807E-3</v>
      </c>
    </row>
    <row r="19" spans="1:17" x14ac:dyDescent="0.2">
      <c r="A19" s="23" t="s">
        <v>0</v>
      </c>
      <c r="B19" s="27">
        <v>0.48004999999999998</v>
      </c>
      <c r="C19" s="101">
        <v>9.7540000000000002E-2</v>
      </c>
      <c r="D19" s="102"/>
      <c r="I19" s="19">
        <v>4</v>
      </c>
      <c r="J19" s="20">
        <f t="shared" si="9"/>
        <v>1.5304800000000001</v>
      </c>
      <c r="K19" s="19">
        <f>+$B$6</f>
        <v>0.85</v>
      </c>
      <c r="L19" s="19">
        <f t="shared" si="10"/>
        <v>0.10783</v>
      </c>
      <c r="M19" s="19">
        <f>+$C$6</f>
        <v>0.52678268764263692</v>
      </c>
      <c r="N19" s="20">
        <f t="shared" si="2"/>
        <v>1357.7109772085055</v>
      </c>
      <c r="O19" s="21">
        <f t="shared" si="3"/>
        <v>9.3506265647968709E-4</v>
      </c>
      <c r="P19" s="21">
        <f t="shared" si="4"/>
        <v>1.8701253129593742E-3</v>
      </c>
      <c r="Q19" s="21">
        <f t="shared" si="5"/>
        <v>5.6103759388781227E-3</v>
      </c>
    </row>
    <row r="20" spans="1:17" x14ac:dyDescent="0.2">
      <c r="A20" s="23" t="s">
        <v>12</v>
      </c>
      <c r="B20" s="27">
        <v>0.3019</v>
      </c>
      <c r="C20" s="101">
        <v>9.3109999999999998E-2</v>
      </c>
      <c r="D20" s="102"/>
      <c r="I20" s="19">
        <v>4</v>
      </c>
      <c r="J20" s="20">
        <f t="shared" si="9"/>
        <v>1.5304800000000001</v>
      </c>
      <c r="K20" s="19">
        <f>+$B$7</f>
        <v>0.8</v>
      </c>
      <c r="L20" s="19">
        <f t="shared" si="10"/>
        <v>0.10783</v>
      </c>
      <c r="M20" s="19">
        <f>+$C$7</f>
        <v>0.59999999999999987</v>
      </c>
      <c r="N20" s="20">
        <f t="shared" si="2"/>
        <v>1289.0820000000001</v>
      </c>
      <c r="O20" s="21">
        <f t="shared" si="3"/>
        <v>8.8779752066115727E-4</v>
      </c>
      <c r="P20" s="21">
        <f t="shared" si="4"/>
        <v>1.7755950413223145E-3</v>
      </c>
      <c r="Q20" s="21">
        <f t="shared" si="5"/>
        <v>5.3267851239669432E-3</v>
      </c>
    </row>
    <row r="21" spans="1:17" x14ac:dyDescent="0.2">
      <c r="A21" s="23">
        <v>250</v>
      </c>
      <c r="B21" s="27">
        <v>0.25552000000000002</v>
      </c>
      <c r="C21" s="27">
        <v>9.3649999999999997E-2</v>
      </c>
      <c r="I21" s="19">
        <v>4</v>
      </c>
      <c r="J21" s="20">
        <f t="shared" si="9"/>
        <v>1.5304800000000001</v>
      </c>
      <c r="K21" s="19">
        <f>+$B$8</f>
        <v>0.75</v>
      </c>
      <c r="L21" s="19">
        <f t="shared" si="10"/>
        <v>0.10783</v>
      </c>
      <c r="M21" s="19">
        <f>+$C$8</f>
        <v>0.66143782776614757</v>
      </c>
      <c r="N21" s="20">
        <f t="shared" si="2"/>
        <v>1219.1828409680238</v>
      </c>
      <c r="O21" s="21">
        <f t="shared" si="3"/>
        <v>8.3965760397246834E-4</v>
      </c>
      <c r="P21" s="21">
        <f t="shared" si="4"/>
        <v>1.6793152079449367E-3</v>
      </c>
      <c r="Q21" s="21">
        <f t="shared" si="5"/>
        <v>5.0379456238348105E-3</v>
      </c>
    </row>
    <row r="22" spans="1:17" x14ac:dyDescent="0.2">
      <c r="A22" s="92">
        <v>350</v>
      </c>
      <c r="B22" s="27">
        <v>0.18251999999999999</v>
      </c>
      <c r="C22" s="27">
        <v>9.0709999999999999E-2</v>
      </c>
      <c r="I22" s="19">
        <v>4</v>
      </c>
      <c r="J22" s="20">
        <f t="shared" si="9"/>
        <v>1.5304800000000001</v>
      </c>
      <c r="K22" s="19">
        <f>+$B$9</f>
        <v>0.7</v>
      </c>
      <c r="L22" s="19">
        <f t="shared" si="10"/>
        <v>0.10783</v>
      </c>
      <c r="M22" s="19">
        <f>+$C$9</f>
        <v>0.71414284285428498</v>
      </c>
      <c r="N22" s="20">
        <f t="shared" si="2"/>
        <v>1148.3420227449776</v>
      </c>
      <c r="O22" s="21">
        <f t="shared" si="3"/>
        <v>7.9086916167009488E-4</v>
      </c>
      <c r="P22" s="21">
        <f t="shared" si="4"/>
        <v>1.5817383233401898E-3</v>
      </c>
      <c r="Q22" s="21">
        <f t="shared" si="5"/>
        <v>4.7452149700205693E-3</v>
      </c>
    </row>
    <row r="23" spans="1:17" x14ac:dyDescent="0.2">
      <c r="A23" s="23">
        <v>400</v>
      </c>
      <c r="B23" s="27">
        <v>0.15970999999999999</v>
      </c>
      <c r="C23" s="27">
        <v>8.9630000000000001E-2</v>
      </c>
      <c r="I23" s="19">
        <v>2</v>
      </c>
      <c r="J23" s="20">
        <f t="shared" ref="J23:J29" si="11">$B$16</f>
        <v>0.96252000000000004</v>
      </c>
      <c r="K23" s="19">
        <f>+$B$3</f>
        <v>1</v>
      </c>
      <c r="L23" s="19">
        <f t="shared" ref="L23:L29" si="12">$C$16</f>
        <v>0.1023</v>
      </c>
      <c r="M23" s="19">
        <f>+$C$3</f>
        <v>0</v>
      </c>
      <c r="N23" s="20">
        <f t="shared" si="2"/>
        <v>962.5200000000001</v>
      </c>
      <c r="O23" s="21">
        <f t="shared" si="3"/>
        <v>6.6289256198347126E-4</v>
      </c>
      <c r="P23" s="21">
        <f t="shared" si="4"/>
        <v>1.3257851239669425E-3</v>
      </c>
      <c r="Q23" s="21">
        <f t="shared" si="5"/>
        <v>3.977355371900828E-3</v>
      </c>
    </row>
    <row r="24" spans="1:17" x14ac:dyDescent="0.2">
      <c r="A24" s="23">
        <v>500</v>
      </c>
      <c r="B24" s="27">
        <v>0.12776999999999999</v>
      </c>
      <c r="C24" s="27">
        <v>8.7970000000000007E-2</v>
      </c>
      <c r="I24" s="19">
        <v>2</v>
      </c>
      <c r="J24" s="20">
        <f t="shared" si="11"/>
        <v>0.96252000000000004</v>
      </c>
      <c r="K24" s="19">
        <f>+$B$4</f>
        <v>0.95</v>
      </c>
      <c r="L24" s="19">
        <f t="shared" si="12"/>
        <v>0.1023</v>
      </c>
      <c r="M24" s="19">
        <f>+$C$4</f>
        <v>0.31224989991992003</v>
      </c>
      <c r="N24" s="20">
        <f t="shared" si="2"/>
        <v>946.3371647618078</v>
      </c>
      <c r="O24" s="21">
        <f t="shared" si="3"/>
        <v>6.5174735865138284E-4</v>
      </c>
      <c r="P24" s="21">
        <f t="shared" si="4"/>
        <v>1.3034947173027657E-3</v>
      </c>
      <c r="Q24" s="21">
        <f t="shared" si="5"/>
        <v>3.9104841519082972E-3</v>
      </c>
    </row>
    <row r="25" spans="1:17" x14ac:dyDescent="0.2">
      <c r="A25" s="131" t="s">
        <v>47</v>
      </c>
      <c r="B25" s="133" t="s">
        <v>49</v>
      </c>
      <c r="C25" s="134"/>
      <c r="D25" s="134"/>
      <c r="E25" s="134"/>
      <c r="F25" s="134"/>
      <c r="G25" s="135"/>
      <c r="I25" s="19">
        <v>2</v>
      </c>
      <c r="J25" s="20">
        <f t="shared" si="11"/>
        <v>0.96252000000000004</v>
      </c>
      <c r="K25" s="19">
        <f>+$B$5</f>
        <v>0.9</v>
      </c>
      <c r="L25" s="19">
        <f t="shared" si="12"/>
        <v>0.1023</v>
      </c>
      <c r="M25" s="19">
        <f>+$C$5</f>
        <v>0.43588989435406728</v>
      </c>
      <c r="N25" s="20">
        <f t="shared" si="2"/>
        <v>910.85953619242116</v>
      </c>
      <c r="O25" s="21">
        <f t="shared" si="3"/>
        <v>6.2731373016006978E-4</v>
      </c>
      <c r="P25" s="21">
        <f t="shared" si="4"/>
        <v>1.2546274603201396E-3</v>
      </c>
      <c r="Q25" s="21">
        <f t="shared" si="5"/>
        <v>3.7638823809604187E-3</v>
      </c>
    </row>
    <row r="26" spans="1:17" x14ac:dyDescent="0.2">
      <c r="A26" s="131"/>
      <c r="B26" s="132" t="s">
        <v>48</v>
      </c>
      <c r="C26" s="132"/>
      <c r="D26" s="132" t="s">
        <v>50</v>
      </c>
      <c r="E26" s="132"/>
      <c r="F26" s="132" t="s">
        <v>51</v>
      </c>
      <c r="G26" s="132"/>
      <c r="I26" s="19">
        <v>2</v>
      </c>
      <c r="J26" s="20">
        <f t="shared" si="11"/>
        <v>0.96252000000000004</v>
      </c>
      <c r="K26" s="19">
        <f>+$B$6</f>
        <v>0.85</v>
      </c>
      <c r="L26" s="19">
        <f t="shared" si="12"/>
        <v>0.1023</v>
      </c>
      <c r="M26" s="19">
        <f>+$C$6</f>
        <v>0.52678268764263692</v>
      </c>
      <c r="N26" s="20">
        <f t="shared" si="2"/>
        <v>872.03186894584189</v>
      </c>
      <c r="O26" s="21">
        <f t="shared" si="3"/>
        <v>6.005729124971364E-4</v>
      </c>
      <c r="P26" s="21">
        <f t="shared" si="4"/>
        <v>1.2011458249942728E-3</v>
      </c>
      <c r="Q26" s="21">
        <f t="shared" si="5"/>
        <v>3.6034374749828184E-3</v>
      </c>
    </row>
    <row r="27" spans="1:17" x14ac:dyDescent="0.2">
      <c r="A27" s="131"/>
      <c r="B27" s="25" t="s">
        <v>37</v>
      </c>
      <c r="C27" s="25" t="s">
        <v>39</v>
      </c>
      <c r="D27" s="25" t="s">
        <v>37</v>
      </c>
      <c r="E27" s="25" t="s">
        <v>39</v>
      </c>
      <c r="F27" s="25" t="s">
        <v>37</v>
      </c>
      <c r="G27" s="25" t="s">
        <v>39</v>
      </c>
      <c r="I27" s="19">
        <v>2</v>
      </c>
      <c r="J27" s="20">
        <f t="shared" si="11"/>
        <v>0.96252000000000004</v>
      </c>
      <c r="K27" s="19">
        <f>+$B$7</f>
        <v>0.8</v>
      </c>
      <c r="L27" s="19">
        <f t="shared" si="12"/>
        <v>0.1023</v>
      </c>
      <c r="M27" s="19">
        <f>+$C$7</f>
        <v>0.59999999999999987</v>
      </c>
      <c r="N27" s="20">
        <f t="shared" si="2"/>
        <v>831.39600000000007</v>
      </c>
      <c r="O27" s="21">
        <f t="shared" si="3"/>
        <v>5.7258677685950428E-4</v>
      </c>
      <c r="P27" s="21">
        <f t="shared" si="4"/>
        <v>1.1451735537190086E-3</v>
      </c>
      <c r="Q27" s="21">
        <f t="shared" si="5"/>
        <v>3.4355206611570259E-3</v>
      </c>
    </row>
    <row r="28" spans="1:17" x14ac:dyDescent="0.2">
      <c r="A28" s="23">
        <v>12</v>
      </c>
      <c r="B28" s="27"/>
      <c r="C28" s="27"/>
      <c r="D28" s="27"/>
      <c r="E28" s="27"/>
      <c r="F28" s="27"/>
      <c r="G28" s="27"/>
      <c r="I28" s="19">
        <v>2</v>
      </c>
      <c r="J28" s="20">
        <f t="shared" si="11"/>
        <v>0.96252000000000004</v>
      </c>
      <c r="K28" s="19">
        <f>+$B$8</f>
        <v>0.75</v>
      </c>
      <c r="L28" s="19">
        <f t="shared" si="12"/>
        <v>0.1023</v>
      </c>
      <c r="M28" s="19">
        <f>+$C$8</f>
        <v>0.66143782776614757</v>
      </c>
      <c r="N28" s="20">
        <f t="shared" si="2"/>
        <v>789.55508978047692</v>
      </c>
      <c r="O28" s="21">
        <f t="shared" si="3"/>
        <v>5.4377072298930922E-4</v>
      </c>
      <c r="P28" s="21">
        <f t="shared" si="4"/>
        <v>1.0875414459786184E-3</v>
      </c>
      <c r="Q28" s="21">
        <f t="shared" si="5"/>
        <v>3.2626243379358551E-3</v>
      </c>
    </row>
    <row r="29" spans="1:17" x14ac:dyDescent="0.2">
      <c r="A29" s="23">
        <v>10</v>
      </c>
      <c r="B29" s="27"/>
      <c r="C29" s="27"/>
      <c r="D29" s="27"/>
      <c r="E29" s="27"/>
      <c r="F29" s="27"/>
      <c r="G29" s="27"/>
      <c r="I29" s="19">
        <v>2</v>
      </c>
      <c r="J29" s="20">
        <f t="shared" si="11"/>
        <v>0.96252000000000004</v>
      </c>
      <c r="K29" s="19">
        <f>+$B$9</f>
        <v>0.7</v>
      </c>
      <c r="L29" s="19">
        <f t="shared" si="12"/>
        <v>0.1023</v>
      </c>
      <c r="M29" s="19">
        <f>+$C$9</f>
        <v>0.71414284285428498</v>
      </c>
      <c r="N29" s="20">
        <f t="shared" si="2"/>
        <v>746.82081282399338</v>
      </c>
      <c r="O29" s="21">
        <f t="shared" si="3"/>
        <v>5.1433940277134541E-4</v>
      </c>
      <c r="P29" s="21">
        <f t="shared" si="4"/>
        <v>1.0286788055426908E-3</v>
      </c>
      <c r="Q29" s="21">
        <f t="shared" si="5"/>
        <v>3.0860364166280727E-3</v>
      </c>
    </row>
    <row r="30" spans="1:17" x14ac:dyDescent="0.2">
      <c r="A30" s="23">
        <v>8</v>
      </c>
      <c r="B30" s="27"/>
      <c r="C30" s="27"/>
      <c r="D30" s="27"/>
      <c r="E30" s="27"/>
      <c r="F30" s="27"/>
      <c r="G30" s="27"/>
      <c r="I30" s="19">
        <v>1</v>
      </c>
      <c r="J30" s="20">
        <f t="shared" ref="J30:J36" si="13">$B$17</f>
        <v>0.76326000000000005</v>
      </c>
      <c r="K30" s="19">
        <f>+$B$3</f>
        <v>1</v>
      </c>
      <c r="L30" s="19">
        <f t="shared" ref="L30:L36" si="14">$C$17</f>
        <v>0.1023</v>
      </c>
      <c r="M30" s="19">
        <f>+$C$3</f>
        <v>0</v>
      </c>
      <c r="N30" s="20">
        <f t="shared" si="2"/>
        <v>763.2600000000001</v>
      </c>
      <c r="O30" s="21">
        <f t="shared" si="3"/>
        <v>5.2566115702479353E-4</v>
      </c>
      <c r="P30" s="21">
        <f t="shared" si="4"/>
        <v>1.0513223140495871E-3</v>
      </c>
      <c r="Q30" s="21">
        <f t="shared" si="5"/>
        <v>3.1539669421487612E-3</v>
      </c>
    </row>
    <row r="31" spans="1:17" x14ac:dyDescent="0.2">
      <c r="A31" s="23">
        <v>6</v>
      </c>
      <c r="B31" s="27"/>
      <c r="C31" s="27"/>
      <c r="D31" s="27"/>
      <c r="E31" s="27"/>
      <c r="F31" s="27"/>
      <c r="G31" s="27"/>
      <c r="I31" s="19">
        <v>1</v>
      </c>
      <c r="J31" s="20">
        <f t="shared" si="13"/>
        <v>0.76326000000000005</v>
      </c>
      <c r="K31" s="19">
        <f>+$B$4</f>
        <v>0.95</v>
      </c>
      <c r="L31" s="19">
        <f t="shared" si="14"/>
        <v>0.1023</v>
      </c>
      <c r="M31" s="19">
        <f>+$C$4</f>
        <v>0.31224989991992003</v>
      </c>
      <c r="N31" s="20">
        <f t="shared" si="2"/>
        <v>757.04016476180777</v>
      </c>
      <c r="O31" s="21">
        <f t="shared" si="3"/>
        <v>5.2137752394063909E-4</v>
      </c>
      <c r="P31" s="21">
        <f t="shared" si="4"/>
        <v>1.0427550478812782E-3</v>
      </c>
      <c r="Q31" s="21">
        <f t="shared" si="5"/>
        <v>3.1282651436438345E-3</v>
      </c>
    </row>
    <row r="32" spans="1:17" x14ac:dyDescent="0.2">
      <c r="A32" s="23">
        <v>4</v>
      </c>
      <c r="B32" s="27"/>
      <c r="C32" s="27"/>
      <c r="D32" s="27"/>
      <c r="E32" s="27"/>
      <c r="F32" s="27"/>
      <c r="G32" s="27"/>
      <c r="I32" s="19">
        <v>1</v>
      </c>
      <c r="J32" s="20">
        <f t="shared" si="13"/>
        <v>0.76326000000000005</v>
      </c>
      <c r="K32" s="19">
        <f>+$B$5</f>
        <v>0.9</v>
      </c>
      <c r="L32" s="19">
        <f t="shared" si="14"/>
        <v>0.1023</v>
      </c>
      <c r="M32" s="19">
        <f>+$C$5</f>
        <v>0.43588989435406728</v>
      </c>
      <c r="N32" s="20">
        <f t="shared" si="2"/>
        <v>731.5255361924211</v>
      </c>
      <c r="O32" s="21">
        <f t="shared" si="3"/>
        <v>5.038054656972598E-4</v>
      </c>
      <c r="P32" s="21">
        <f t="shared" si="4"/>
        <v>1.0076109313945196E-3</v>
      </c>
      <c r="Q32" s="21">
        <f t="shared" si="5"/>
        <v>3.0228327941835588E-3</v>
      </c>
    </row>
    <row r="33" spans="1:17" x14ac:dyDescent="0.2">
      <c r="A33" s="23">
        <v>2</v>
      </c>
      <c r="B33" s="27"/>
      <c r="C33" s="27"/>
      <c r="D33" s="27"/>
      <c r="E33" s="27"/>
      <c r="F33" s="27"/>
      <c r="G33" s="27"/>
      <c r="I33" s="19">
        <v>1</v>
      </c>
      <c r="J33" s="20">
        <f t="shared" si="13"/>
        <v>0.76326000000000005</v>
      </c>
      <c r="K33" s="19">
        <f>+$B$6</f>
        <v>0.85</v>
      </c>
      <c r="L33" s="19">
        <f t="shared" si="14"/>
        <v>0.1023</v>
      </c>
      <c r="M33" s="19">
        <f>+$C$6</f>
        <v>0.52678268764263692</v>
      </c>
      <c r="N33" s="20">
        <f t="shared" si="2"/>
        <v>702.6608689458418</v>
      </c>
      <c r="O33" s="21">
        <f t="shared" si="3"/>
        <v>4.8392621828226024E-4</v>
      </c>
      <c r="P33" s="21">
        <f t="shared" si="4"/>
        <v>9.6785243656452049E-4</v>
      </c>
      <c r="Q33" s="21">
        <f t="shared" si="5"/>
        <v>2.9035573096935613E-3</v>
      </c>
    </row>
    <row r="34" spans="1:17" x14ac:dyDescent="0.2">
      <c r="A34" s="23" t="s">
        <v>8</v>
      </c>
      <c r="B34" s="27"/>
      <c r="C34" s="27"/>
      <c r="D34" s="27"/>
      <c r="E34" s="27"/>
      <c r="F34" s="27"/>
      <c r="G34" s="27"/>
      <c r="I34" s="19">
        <v>1</v>
      </c>
      <c r="J34" s="20">
        <f t="shared" si="13"/>
        <v>0.76326000000000005</v>
      </c>
      <c r="K34" s="19">
        <f>+$B$7</f>
        <v>0.8</v>
      </c>
      <c r="L34" s="19">
        <f t="shared" si="14"/>
        <v>0.1023</v>
      </c>
      <c r="M34" s="19">
        <f>+$C$7</f>
        <v>0.59999999999999987</v>
      </c>
      <c r="N34" s="20">
        <f t="shared" si="2"/>
        <v>671.98800000000006</v>
      </c>
      <c r="O34" s="21">
        <f t="shared" si="3"/>
        <v>4.6280165289256211E-4</v>
      </c>
      <c r="P34" s="21">
        <f t="shared" si="4"/>
        <v>9.2560330578512421E-4</v>
      </c>
      <c r="Q34" s="21">
        <f t="shared" si="5"/>
        <v>2.7768099173553725E-3</v>
      </c>
    </row>
    <row r="35" spans="1:17" x14ac:dyDescent="0.2">
      <c r="A35" s="23" t="s">
        <v>0</v>
      </c>
      <c r="B35" s="27"/>
      <c r="C35" s="27"/>
      <c r="D35" s="27"/>
      <c r="E35" s="27"/>
      <c r="F35" s="27"/>
      <c r="G35" s="27"/>
      <c r="I35" s="19">
        <v>1</v>
      </c>
      <c r="J35" s="20">
        <f t="shared" si="13"/>
        <v>0.76326000000000005</v>
      </c>
      <c r="K35" s="19">
        <f>+$B$8</f>
        <v>0.75</v>
      </c>
      <c r="L35" s="19">
        <f t="shared" si="14"/>
        <v>0.1023</v>
      </c>
      <c r="M35" s="19">
        <f>+$C$8</f>
        <v>0.66143782776614757</v>
      </c>
      <c r="N35" s="20">
        <f t="shared" si="2"/>
        <v>640.11008978047698</v>
      </c>
      <c r="O35" s="21">
        <f t="shared" si="3"/>
        <v>4.4084716927030103E-4</v>
      </c>
      <c r="P35" s="21">
        <f t="shared" si="4"/>
        <v>8.8169433854060205E-4</v>
      </c>
      <c r="Q35" s="21">
        <f t="shared" si="5"/>
        <v>2.6450830156218063E-3</v>
      </c>
    </row>
    <row r="36" spans="1:17" x14ac:dyDescent="0.2">
      <c r="A36" s="23" t="s">
        <v>12</v>
      </c>
      <c r="B36" s="27"/>
      <c r="C36" s="27"/>
      <c r="D36" s="27"/>
      <c r="E36" s="27"/>
      <c r="F36" s="27"/>
      <c r="G36" s="27"/>
      <c r="I36" s="19">
        <v>1</v>
      </c>
      <c r="J36" s="20">
        <f t="shared" si="13"/>
        <v>0.76326000000000005</v>
      </c>
      <c r="K36" s="19">
        <f>+$B$9</f>
        <v>0.7</v>
      </c>
      <c r="L36" s="19">
        <f t="shared" si="14"/>
        <v>0.1023</v>
      </c>
      <c r="M36" s="19">
        <f>+$C$9</f>
        <v>0.71414284285428498</v>
      </c>
      <c r="N36" s="20">
        <f t="shared" si="2"/>
        <v>607.33881282399341</v>
      </c>
      <c r="O36" s="21">
        <f t="shared" si="3"/>
        <v>4.1827741930027098E-4</v>
      </c>
      <c r="P36" s="21">
        <f t="shared" si="4"/>
        <v>8.3655483860054197E-4</v>
      </c>
      <c r="Q36" s="21">
        <f t="shared" si="5"/>
        <v>2.5096645158016258E-3</v>
      </c>
    </row>
    <row r="37" spans="1:17" x14ac:dyDescent="0.2">
      <c r="A37" s="23">
        <v>250</v>
      </c>
      <c r="B37" s="27"/>
      <c r="C37" s="27"/>
      <c r="D37" s="27"/>
      <c r="E37" s="27"/>
      <c r="F37" s="27"/>
      <c r="G37" s="27"/>
      <c r="I37" s="19" t="s">
        <v>8</v>
      </c>
      <c r="J37" s="20">
        <f t="shared" ref="J37:J43" si="15">$B$18</f>
        <v>0.60526999999999997</v>
      </c>
      <c r="K37" s="19">
        <f>+$B$3</f>
        <v>1</v>
      </c>
      <c r="L37" s="19">
        <f t="shared" ref="L37:L43" si="16">$C$18</f>
        <v>0.10005</v>
      </c>
      <c r="M37" s="19">
        <f>+$C$3</f>
        <v>0</v>
      </c>
      <c r="N37" s="20">
        <f t="shared" si="2"/>
        <v>605.27</v>
      </c>
      <c r="O37" s="21">
        <f t="shared" si="3"/>
        <v>4.1685261707988984E-4</v>
      </c>
      <c r="P37" s="21">
        <f t="shared" si="4"/>
        <v>8.3370523415977969E-4</v>
      </c>
      <c r="Q37" s="21">
        <f t="shared" si="5"/>
        <v>2.501115702479339E-3</v>
      </c>
    </row>
    <row r="38" spans="1:17" x14ac:dyDescent="0.2">
      <c r="A38" s="23">
        <v>350</v>
      </c>
      <c r="B38" s="27"/>
      <c r="C38" s="27"/>
      <c r="D38" s="27"/>
      <c r="E38" s="27"/>
      <c r="F38" s="27"/>
      <c r="G38" s="27"/>
      <c r="I38" s="19" t="s">
        <v>8</v>
      </c>
      <c r="J38" s="20">
        <f t="shared" si="15"/>
        <v>0.60526999999999997</v>
      </c>
      <c r="K38" s="19">
        <f>+$B$4</f>
        <v>0.95</v>
      </c>
      <c r="L38" s="19">
        <f t="shared" si="16"/>
        <v>0.10005</v>
      </c>
      <c r="M38" s="19">
        <f>+$C$4</f>
        <v>0.31224989991992003</v>
      </c>
      <c r="N38" s="20">
        <f t="shared" si="2"/>
        <v>606.24710248698796</v>
      </c>
      <c r="O38" s="21">
        <f t="shared" si="3"/>
        <v>4.17525552676989E-4</v>
      </c>
      <c r="P38" s="21">
        <f t="shared" si="4"/>
        <v>8.3505110535397799E-4</v>
      </c>
      <c r="Q38" s="21">
        <f t="shared" si="5"/>
        <v>2.505153316061934E-3</v>
      </c>
    </row>
    <row r="39" spans="1:17" x14ac:dyDescent="0.2">
      <c r="A39" s="23">
        <v>500</v>
      </c>
      <c r="B39" s="27"/>
      <c r="C39" s="27"/>
      <c r="D39" s="27"/>
      <c r="E39" s="27"/>
      <c r="F39" s="27"/>
      <c r="G39" s="27"/>
      <c r="I39" s="19" t="s">
        <v>8</v>
      </c>
      <c r="J39" s="20">
        <f t="shared" si="15"/>
        <v>0.60526999999999997</v>
      </c>
      <c r="K39" s="19">
        <f>+$B$5</f>
        <v>0.9</v>
      </c>
      <c r="L39" s="19">
        <f t="shared" si="16"/>
        <v>0.10005</v>
      </c>
      <c r="M39" s="19">
        <f>+$C$5</f>
        <v>0.43588989435406728</v>
      </c>
      <c r="N39" s="20">
        <f t="shared" si="2"/>
        <v>588.35378393012434</v>
      </c>
      <c r="O39" s="21">
        <f>0.00210535</f>
        <v>2.1053500000000002E-3</v>
      </c>
      <c r="P39" s="21">
        <f t="shared" si="4"/>
        <v>4.2107000000000004E-3</v>
      </c>
      <c r="Q39" s="21">
        <f t="shared" si="5"/>
        <v>1.26321E-2</v>
      </c>
    </row>
    <row r="40" spans="1:17" x14ac:dyDescent="0.2">
      <c r="I40" s="19" t="s">
        <v>8</v>
      </c>
      <c r="J40" s="20">
        <f t="shared" si="15"/>
        <v>0.60526999999999997</v>
      </c>
      <c r="K40" s="19">
        <f>+$B$6</f>
        <v>0.85</v>
      </c>
      <c r="L40" s="19">
        <f t="shared" si="16"/>
        <v>0.10005</v>
      </c>
      <c r="M40" s="19">
        <f>+$C$6</f>
        <v>0.52678268764263692</v>
      </c>
      <c r="N40" s="20">
        <f t="shared" si="2"/>
        <v>567.18410789864583</v>
      </c>
      <c r="O40" s="21">
        <f t="shared" si="3"/>
        <v>3.9062266384204267E-4</v>
      </c>
      <c r="P40" s="21">
        <f t="shared" si="4"/>
        <v>7.8124532768408534E-4</v>
      </c>
      <c r="Q40" s="21">
        <f t="shared" si="5"/>
        <v>2.3437359830522559E-3</v>
      </c>
    </row>
    <row r="41" spans="1:17" x14ac:dyDescent="0.2">
      <c r="I41" s="19" t="s">
        <v>8</v>
      </c>
      <c r="J41" s="20">
        <f t="shared" si="15"/>
        <v>0.60526999999999997</v>
      </c>
      <c r="K41" s="19">
        <f>+$B$7</f>
        <v>0.8</v>
      </c>
      <c r="L41" s="19">
        <f t="shared" si="16"/>
        <v>0.10005</v>
      </c>
      <c r="M41" s="19">
        <f>+$C$7</f>
        <v>0.59999999999999987</v>
      </c>
      <c r="N41" s="20">
        <f t="shared" si="2"/>
        <v>544.24599999999998</v>
      </c>
      <c r="O41" s="21">
        <f t="shared" si="3"/>
        <v>3.7482506887052345E-4</v>
      </c>
      <c r="P41" s="21">
        <f t="shared" si="4"/>
        <v>7.496501377410469E-4</v>
      </c>
      <c r="Q41" s="21">
        <f t="shared" si="5"/>
        <v>2.2489504132231406E-3</v>
      </c>
    </row>
    <row r="42" spans="1:17" x14ac:dyDescent="0.2">
      <c r="I42" s="19" t="s">
        <v>8</v>
      </c>
      <c r="J42" s="20">
        <f t="shared" si="15"/>
        <v>0.60526999999999997</v>
      </c>
      <c r="K42" s="19">
        <f>+$B$8</f>
        <v>0.75</v>
      </c>
      <c r="L42" s="19">
        <f t="shared" si="16"/>
        <v>0.10005</v>
      </c>
      <c r="M42" s="19">
        <f>+$C$8</f>
        <v>0.66143782776614757</v>
      </c>
      <c r="N42" s="20">
        <f t="shared" si="2"/>
        <v>520.12935466800297</v>
      </c>
      <c r="O42" s="21">
        <f t="shared" si="3"/>
        <v>3.5821580900000213E-4</v>
      </c>
      <c r="P42" s="21">
        <f t="shared" si="4"/>
        <v>7.1643161800000426E-4</v>
      </c>
      <c r="Q42" s="21">
        <f t="shared" si="5"/>
        <v>2.1492948540000126E-3</v>
      </c>
    </row>
    <row r="43" spans="1:17" x14ac:dyDescent="0.2">
      <c r="I43" s="19" t="s">
        <v>8</v>
      </c>
      <c r="J43" s="20">
        <f t="shared" si="15"/>
        <v>0.60526999999999997</v>
      </c>
      <c r="K43" s="19">
        <f>+$B$9</f>
        <v>0.7</v>
      </c>
      <c r="L43" s="19">
        <f t="shared" si="16"/>
        <v>0.10005</v>
      </c>
      <c r="M43" s="19">
        <f>+$C$9</f>
        <v>0.71414284285428498</v>
      </c>
      <c r="N43" s="20">
        <f t="shared" si="2"/>
        <v>495.13899142757117</v>
      </c>
      <c r="O43" s="21">
        <f t="shared" si="3"/>
        <v>3.4100481503276258E-4</v>
      </c>
      <c r="P43" s="21">
        <f t="shared" si="4"/>
        <v>6.8200963006552517E-4</v>
      </c>
      <c r="Q43" s="21">
        <f t="shared" si="5"/>
        <v>2.0460288901965754E-3</v>
      </c>
    </row>
    <row r="44" spans="1:17" x14ac:dyDescent="0.2">
      <c r="I44" s="19" t="s">
        <v>0</v>
      </c>
      <c r="J44" s="20">
        <f t="shared" ref="J44:J50" si="17">$B$19</f>
        <v>0.48004999999999998</v>
      </c>
      <c r="K44" s="19">
        <f>+$B$3</f>
        <v>1</v>
      </c>
      <c r="L44" s="19">
        <f t="shared" ref="L44:L50" si="18">$C$19</f>
        <v>9.7540000000000002E-2</v>
      </c>
      <c r="M44" s="19">
        <f>+$C$3</f>
        <v>0</v>
      </c>
      <c r="N44" s="20">
        <f t="shared" si="2"/>
        <v>480.04999999999995</v>
      </c>
      <c r="O44" s="21">
        <f t="shared" si="3"/>
        <v>3.306129476584022E-4</v>
      </c>
      <c r="P44" s="21">
        <f t="shared" si="4"/>
        <v>6.612258953168044E-4</v>
      </c>
      <c r="Q44" s="21">
        <f t="shared" si="5"/>
        <v>1.9836776859504133E-3</v>
      </c>
    </row>
    <row r="45" spans="1:17" x14ac:dyDescent="0.2">
      <c r="I45" s="19" t="s">
        <v>0</v>
      </c>
      <c r="J45" s="20">
        <f t="shared" si="17"/>
        <v>0.48004999999999998</v>
      </c>
      <c r="K45" s="19">
        <f>+$B$4</f>
        <v>0.95</v>
      </c>
      <c r="L45" s="19">
        <f t="shared" si="18"/>
        <v>9.7540000000000002E-2</v>
      </c>
      <c r="M45" s="19">
        <f>+$C$4</f>
        <v>0.31224989991992003</v>
      </c>
      <c r="N45" s="20">
        <f t="shared" si="2"/>
        <v>486.50435523818891</v>
      </c>
      <c r="O45" s="21">
        <f t="shared" si="3"/>
        <v>3.3505809589406954E-4</v>
      </c>
      <c r="P45" s="21">
        <f t="shared" si="4"/>
        <v>6.7011619178813909E-4</v>
      </c>
      <c r="Q45" s="21">
        <f t="shared" si="5"/>
        <v>2.010348575364417E-3</v>
      </c>
    </row>
    <row r="46" spans="1:17" x14ac:dyDescent="0.2">
      <c r="I46" s="19" t="s">
        <v>0</v>
      </c>
      <c r="J46" s="20">
        <f t="shared" si="17"/>
        <v>0.48004999999999998</v>
      </c>
      <c r="K46" s="19">
        <f>+$B$5</f>
        <v>0.9</v>
      </c>
      <c r="L46" s="19">
        <f t="shared" si="18"/>
        <v>9.7540000000000002E-2</v>
      </c>
      <c r="M46" s="19">
        <f>+$C$5</f>
        <v>0.43588989435406728</v>
      </c>
      <c r="N46" s="20">
        <f t="shared" si="2"/>
        <v>474.56170029529574</v>
      </c>
      <c r="O46" s="21">
        <f t="shared" si="3"/>
        <v>3.2683312692513485E-4</v>
      </c>
      <c r="P46" s="21">
        <f t="shared" si="4"/>
        <v>6.536662538502697E-4</v>
      </c>
      <c r="Q46" s="21">
        <f t="shared" si="5"/>
        <v>1.9609987615508092E-3</v>
      </c>
    </row>
    <row r="47" spans="1:17" x14ac:dyDescent="0.2">
      <c r="I47" s="19" t="s">
        <v>0</v>
      </c>
      <c r="J47" s="20">
        <f t="shared" si="17"/>
        <v>0.48004999999999998</v>
      </c>
      <c r="K47" s="19">
        <f>+$B$6</f>
        <v>0.85</v>
      </c>
      <c r="L47" s="19">
        <f t="shared" si="18"/>
        <v>9.7540000000000002E-2</v>
      </c>
      <c r="M47" s="19">
        <f>+$C$6</f>
        <v>0.52678268764263692</v>
      </c>
      <c r="N47" s="20">
        <f t="shared" si="2"/>
        <v>459.42488335266279</v>
      </c>
      <c r="O47" s="21">
        <f t="shared" si="3"/>
        <v>3.1640832186822512E-4</v>
      </c>
      <c r="P47" s="21">
        <f t="shared" si="4"/>
        <v>6.3281664373645023E-4</v>
      </c>
      <c r="Q47" s="21">
        <f t="shared" si="5"/>
        <v>1.8984499312093507E-3</v>
      </c>
    </row>
    <row r="48" spans="1:17" x14ac:dyDescent="0.2">
      <c r="I48" s="19" t="s">
        <v>0</v>
      </c>
      <c r="J48" s="20">
        <f>$B$19</f>
        <v>0.48004999999999998</v>
      </c>
      <c r="K48" s="19">
        <f>+$B$7</f>
        <v>0.8</v>
      </c>
      <c r="L48" s="19">
        <f t="shared" si="18"/>
        <v>9.7540000000000002E-2</v>
      </c>
      <c r="M48" s="19">
        <f>+$C$7</f>
        <v>0.59999999999999987</v>
      </c>
      <c r="N48" s="20">
        <f t="shared" si="2"/>
        <v>442.56399999999996</v>
      </c>
      <c r="O48" s="21">
        <f t="shared" si="3"/>
        <v>3.0479614325068874E-4</v>
      </c>
      <c r="P48" s="21">
        <f t="shared" si="4"/>
        <v>6.0959228650137747E-4</v>
      </c>
      <c r="Q48" s="21">
        <f t="shared" si="5"/>
        <v>1.8287768595041324E-3</v>
      </c>
    </row>
    <row r="49" spans="9:17" x14ac:dyDescent="0.2">
      <c r="I49" s="19" t="s">
        <v>0</v>
      </c>
      <c r="J49" s="20">
        <f t="shared" si="17"/>
        <v>0.48004999999999998</v>
      </c>
      <c r="K49" s="19">
        <f>+$B$8</f>
        <v>0.75</v>
      </c>
      <c r="L49" s="19">
        <f t="shared" si="18"/>
        <v>9.7540000000000002E-2</v>
      </c>
      <c r="M49" s="19">
        <f>+$C$8</f>
        <v>0.66143782776614757</v>
      </c>
      <c r="N49" s="20">
        <f t="shared" si="2"/>
        <v>424.55414572031003</v>
      </c>
      <c r="O49" s="21">
        <f t="shared" si="3"/>
        <v>2.9239266234181138E-4</v>
      </c>
      <c r="P49" s="21">
        <f t="shared" si="4"/>
        <v>5.8478532468362275E-4</v>
      </c>
      <c r="Q49" s="21">
        <f t="shared" si="5"/>
        <v>1.7543559740508682E-3</v>
      </c>
    </row>
    <row r="50" spans="9:17" x14ac:dyDescent="0.2">
      <c r="I50" s="19" t="s">
        <v>0</v>
      </c>
      <c r="J50" s="20">
        <f t="shared" si="17"/>
        <v>0.48004999999999998</v>
      </c>
      <c r="K50" s="19">
        <f>+$B$9</f>
        <v>0.7</v>
      </c>
      <c r="L50" s="19">
        <f t="shared" si="18"/>
        <v>9.7540000000000002E-2</v>
      </c>
      <c r="M50" s="19">
        <f>+$C$9</f>
        <v>0.71414284285428498</v>
      </c>
      <c r="N50" s="20">
        <f t="shared" si="2"/>
        <v>405.69249289200695</v>
      </c>
      <c r="O50" s="21">
        <f t="shared" si="3"/>
        <v>2.7940254331405444E-4</v>
      </c>
      <c r="P50" s="21">
        <f t="shared" si="4"/>
        <v>5.5880508662810888E-4</v>
      </c>
      <c r="Q50" s="21">
        <f t="shared" si="5"/>
        <v>1.6764152598843266E-3</v>
      </c>
    </row>
    <row r="51" spans="9:17" x14ac:dyDescent="0.2">
      <c r="I51" s="19" t="s">
        <v>12</v>
      </c>
      <c r="J51" s="20">
        <f>+$B$20</f>
        <v>0.3019</v>
      </c>
      <c r="K51" s="19">
        <f>+$B$3</f>
        <v>1</v>
      </c>
      <c r="L51" s="19">
        <f>+$C$20</f>
        <v>9.3109999999999998E-2</v>
      </c>
      <c r="M51" s="19">
        <f>+$C$3</f>
        <v>0</v>
      </c>
      <c r="N51" s="20">
        <f t="shared" si="2"/>
        <v>301.89999999999998</v>
      </c>
      <c r="O51" s="21">
        <f t="shared" si="3"/>
        <v>2.079201101928375E-4</v>
      </c>
      <c r="P51" s="21">
        <f t="shared" si="4"/>
        <v>4.1584022038567499E-4</v>
      </c>
      <c r="Q51" s="21">
        <f t="shared" si="5"/>
        <v>1.247520661157025E-3</v>
      </c>
    </row>
    <row r="52" spans="9:17" x14ac:dyDescent="0.2">
      <c r="I52" s="19" t="s">
        <v>12</v>
      </c>
      <c r="J52" s="20">
        <f t="shared" ref="J52:J57" si="19">+$B$20</f>
        <v>0.3019</v>
      </c>
      <c r="K52" s="19">
        <f>+$B$4</f>
        <v>0.95</v>
      </c>
      <c r="L52" s="19">
        <f t="shared" ref="L52:L57" si="20">+$C$20</f>
        <v>9.3109999999999998E-2</v>
      </c>
      <c r="M52" s="19">
        <f>+$C$4</f>
        <v>0.31224989991992003</v>
      </c>
      <c r="N52" s="20">
        <f t="shared" si="2"/>
        <v>315.87858818154376</v>
      </c>
      <c r="O52" s="21">
        <f t="shared" si="3"/>
        <v>2.1754723703963072E-4</v>
      </c>
      <c r="P52" s="21">
        <f t="shared" si="4"/>
        <v>4.3509447407926144E-4</v>
      </c>
      <c r="Q52" s="21">
        <f t="shared" si="5"/>
        <v>1.3052834222377842E-3</v>
      </c>
    </row>
    <row r="53" spans="9:17" x14ac:dyDescent="0.2">
      <c r="I53" s="19" t="s">
        <v>12</v>
      </c>
      <c r="J53" s="20">
        <f t="shared" si="19"/>
        <v>0.3019</v>
      </c>
      <c r="K53" s="19">
        <f>+$B$5</f>
        <v>0.9</v>
      </c>
      <c r="L53" s="19">
        <f t="shared" si="20"/>
        <v>9.3109999999999998E-2</v>
      </c>
      <c r="M53" s="19">
        <f>+$C$5</f>
        <v>0.43588989435406728</v>
      </c>
      <c r="N53" s="20">
        <v>1.0969E-3</v>
      </c>
      <c r="O53" s="21">
        <f>N53/(10*$A$5^2)</f>
        <v>7.5544077134986244E-10</v>
      </c>
      <c r="P53" s="21">
        <f t="shared" si="4"/>
        <v>1.5108815426997249E-9</v>
      </c>
      <c r="Q53" s="21">
        <f t="shared" si="5"/>
        <v>4.5326446280991749E-9</v>
      </c>
    </row>
    <row r="54" spans="9:17" x14ac:dyDescent="0.2">
      <c r="I54" s="19" t="s">
        <v>12</v>
      </c>
      <c r="J54" s="20">
        <f t="shared" si="19"/>
        <v>0.3019</v>
      </c>
      <c r="K54" s="19">
        <f>+$B$6</f>
        <v>0.85</v>
      </c>
      <c r="L54" s="19">
        <f t="shared" si="20"/>
        <v>9.3109999999999998E-2</v>
      </c>
      <c r="M54" s="19">
        <f>+$C$6</f>
        <v>0.52678268764263692</v>
      </c>
      <c r="N54" s="20">
        <f t="shared" si="2"/>
        <v>305.66373604640592</v>
      </c>
      <c r="O54" s="21">
        <f t="shared" si="3"/>
        <v>2.1051221490799309E-4</v>
      </c>
      <c r="P54" s="21">
        <f t="shared" si="4"/>
        <v>4.2102442981598617E-4</v>
      </c>
      <c r="Q54" s="21">
        <f t="shared" si="5"/>
        <v>1.2630732894479586E-3</v>
      </c>
    </row>
    <row r="55" spans="9:17" x14ac:dyDescent="0.2">
      <c r="I55" s="19" t="s">
        <v>12</v>
      </c>
      <c r="J55" s="20">
        <f t="shared" si="19"/>
        <v>0.3019</v>
      </c>
      <c r="K55" s="19">
        <f>+$B$7</f>
        <v>0.8</v>
      </c>
      <c r="L55" s="19">
        <f t="shared" si="20"/>
        <v>9.3109999999999998E-2</v>
      </c>
      <c r="M55" s="19">
        <f>+$C$7</f>
        <v>0.59999999999999987</v>
      </c>
      <c r="N55" s="20">
        <f t="shared" si="2"/>
        <v>297.38599999999997</v>
      </c>
      <c r="O55" s="21">
        <f t="shared" si="3"/>
        <v>2.0481129476584024E-4</v>
      </c>
      <c r="P55" s="21">
        <f t="shared" si="4"/>
        <v>4.0962258953168047E-4</v>
      </c>
      <c r="Q55" s="21">
        <f t="shared" si="5"/>
        <v>1.2288677685950414E-3</v>
      </c>
    </row>
    <row r="56" spans="9:17" x14ac:dyDescent="0.2">
      <c r="I56" s="19" t="s">
        <v>12</v>
      </c>
      <c r="J56" s="20">
        <f t="shared" si="19"/>
        <v>0.3019</v>
      </c>
      <c r="K56" s="19">
        <f>+$B$8</f>
        <v>0.75</v>
      </c>
      <c r="L56" s="19">
        <f t="shared" si="20"/>
        <v>9.3109999999999998E-2</v>
      </c>
      <c r="M56" s="19">
        <f>+$C$8</f>
        <v>0.66143782776614757</v>
      </c>
      <c r="N56" s="20">
        <f t="shared" si="2"/>
        <v>288.01147614330597</v>
      </c>
      <c r="O56" s="21">
        <f t="shared" si="3"/>
        <v>1.9835501111797936E-4</v>
      </c>
      <c r="P56" s="21">
        <f t="shared" si="4"/>
        <v>3.9671002223595872E-4</v>
      </c>
      <c r="Q56" s="21">
        <f t="shared" si="5"/>
        <v>1.1901300667078762E-3</v>
      </c>
    </row>
    <row r="57" spans="9:17" x14ac:dyDescent="0.2">
      <c r="I57" s="19" t="s">
        <v>12</v>
      </c>
      <c r="J57" s="20">
        <f t="shared" si="19"/>
        <v>0.3019</v>
      </c>
      <c r="K57" s="19">
        <f>+$B$9</f>
        <v>0.7</v>
      </c>
      <c r="L57" s="19">
        <f t="shared" si="20"/>
        <v>9.3109999999999998E-2</v>
      </c>
      <c r="M57" s="19">
        <f>+$C$9</f>
        <v>0.71414284285428498</v>
      </c>
      <c r="N57" s="20">
        <f t="shared" si="2"/>
        <v>277.82384009816246</v>
      </c>
      <c r="O57" s="21">
        <f t="shared" si="3"/>
        <v>1.9133873284997419E-4</v>
      </c>
      <c r="P57" s="21">
        <f t="shared" si="4"/>
        <v>3.8267746569994838E-4</v>
      </c>
      <c r="Q57" s="21">
        <f t="shared" si="5"/>
        <v>1.1480323970998452E-3</v>
      </c>
    </row>
    <row r="58" spans="9:17" x14ac:dyDescent="0.2">
      <c r="I58" s="19">
        <v>250</v>
      </c>
      <c r="J58" s="20">
        <f>+$B$21</f>
        <v>0.25552000000000002</v>
      </c>
      <c r="K58" s="19">
        <f>+$B$3</f>
        <v>1</v>
      </c>
      <c r="L58" s="19">
        <f>+$C$21</f>
        <v>9.3649999999999997E-2</v>
      </c>
      <c r="M58" s="19">
        <f>+$C$3</f>
        <v>0</v>
      </c>
      <c r="N58" s="20">
        <f t="shared" si="2"/>
        <v>255.52000000000004</v>
      </c>
      <c r="O58" s="21">
        <f t="shared" si="3"/>
        <v>1.7597796143250694E-4</v>
      </c>
      <c r="P58" s="21">
        <f t="shared" si="4"/>
        <v>3.5195592286501389E-4</v>
      </c>
      <c r="Q58" s="21">
        <f t="shared" si="5"/>
        <v>1.0558677685950416E-3</v>
      </c>
    </row>
    <row r="59" spans="9:17" x14ac:dyDescent="0.2">
      <c r="I59" s="19">
        <v>250</v>
      </c>
      <c r="J59" s="20">
        <f t="shared" ref="J59:J64" si="21">+$B$21</f>
        <v>0.25552000000000002</v>
      </c>
      <c r="K59" s="19">
        <f>+$B$4</f>
        <v>0.95</v>
      </c>
      <c r="L59" s="19">
        <f t="shared" ref="L59:L64" si="22">+$C$21</f>
        <v>9.3649999999999997E-2</v>
      </c>
      <c r="M59" s="19">
        <f>+$C$4</f>
        <v>0.31224989991992003</v>
      </c>
      <c r="N59" s="20">
        <f t="shared" si="2"/>
        <v>271.98620312750057</v>
      </c>
      <c r="O59" s="21">
        <f t="shared" si="3"/>
        <v>1.8731832171315469E-4</v>
      </c>
      <c r="P59" s="21">
        <f t="shared" si="4"/>
        <v>3.7463664342630938E-4</v>
      </c>
      <c r="Q59" s="21">
        <f t="shared" si="5"/>
        <v>1.1239099302789281E-3</v>
      </c>
    </row>
    <row r="60" spans="9:17" x14ac:dyDescent="0.2">
      <c r="I60" s="19">
        <v>250</v>
      </c>
      <c r="J60" s="20">
        <f t="shared" si="21"/>
        <v>0.25552000000000002</v>
      </c>
      <c r="K60" s="19">
        <f>+$B$5</f>
        <v>0.9</v>
      </c>
      <c r="L60" s="19">
        <f t="shared" si="22"/>
        <v>9.3649999999999997E-2</v>
      </c>
      <c r="M60" s="19">
        <f>+$C$5</f>
        <v>0.43588989435406728</v>
      </c>
      <c r="N60" s="20">
        <f t="shared" si="2"/>
        <v>270.78908860625842</v>
      </c>
      <c r="O60" s="21">
        <f t="shared" si="3"/>
        <v>1.8649386267648654E-4</v>
      </c>
      <c r="P60" s="21">
        <f t="shared" si="4"/>
        <v>3.7298772535297308E-4</v>
      </c>
      <c r="Q60" s="21">
        <f t="shared" si="5"/>
        <v>1.1189631760589193E-3</v>
      </c>
    </row>
    <row r="61" spans="9:17" x14ac:dyDescent="0.2">
      <c r="I61" s="19">
        <v>250</v>
      </c>
      <c r="J61" s="20">
        <f t="shared" si="21"/>
        <v>0.25552000000000002</v>
      </c>
      <c r="K61" s="19">
        <f>+$B$6</f>
        <v>0.85</v>
      </c>
      <c r="L61" s="19">
        <f t="shared" si="22"/>
        <v>9.3649999999999997E-2</v>
      </c>
      <c r="M61" s="19">
        <f>+$C$6</f>
        <v>0.52678268764263692</v>
      </c>
      <c r="N61" s="20">
        <f t="shared" si="2"/>
        <v>266.52519869773295</v>
      </c>
      <c r="O61" s="21">
        <f t="shared" si="3"/>
        <v>1.8355729937860398E-4</v>
      </c>
      <c r="P61" s="21">
        <f t="shared" si="4"/>
        <v>3.6711459875720797E-4</v>
      </c>
      <c r="Q61" s="21">
        <f t="shared" si="5"/>
        <v>1.101343796271624E-3</v>
      </c>
    </row>
    <row r="62" spans="9:17" x14ac:dyDescent="0.2">
      <c r="I62" s="19">
        <v>250</v>
      </c>
      <c r="J62" s="20">
        <f t="shared" si="21"/>
        <v>0.25552000000000002</v>
      </c>
      <c r="K62" s="19">
        <f>+$B$7</f>
        <v>0.8</v>
      </c>
      <c r="L62" s="19">
        <f t="shared" si="22"/>
        <v>9.3649999999999997E-2</v>
      </c>
      <c r="M62" s="19">
        <f>+$C$7</f>
        <v>0.59999999999999987</v>
      </c>
      <c r="N62" s="20">
        <f t="shared" si="2"/>
        <v>260.60599999999999</v>
      </c>
      <c r="O62" s="21">
        <f t="shared" si="3"/>
        <v>1.7948071625344356E-4</v>
      </c>
      <c r="P62" s="21">
        <f t="shared" si="4"/>
        <v>3.5896143250688711E-4</v>
      </c>
      <c r="Q62" s="21">
        <f t="shared" si="5"/>
        <v>1.0768842975206613E-3</v>
      </c>
    </row>
    <row r="63" spans="9:17" x14ac:dyDescent="0.2">
      <c r="I63" s="19">
        <v>250</v>
      </c>
      <c r="J63" s="20">
        <f t="shared" si="21"/>
        <v>0.25552000000000002</v>
      </c>
      <c r="K63" s="19">
        <f>+$B$8</f>
        <v>0.75</v>
      </c>
      <c r="L63" s="19">
        <f t="shared" si="22"/>
        <v>9.3649999999999997E-2</v>
      </c>
      <c r="M63" s="19">
        <f>+$C$8</f>
        <v>0.66143782776614757</v>
      </c>
      <c r="N63" s="20">
        <f t="shared" si="2"/>
        <v>253.58365257029973</v>
      </c>
      <c r="O63" s="21">
        <f t="shared" si="3"/>
        <v>1.7464438882252052E-4</v>
      </c>
      <c r="P63" s="21">
        <f t="shared" si="4"/>
        <v>3.4928877764504103E-4</v>
      </c>
      <c r="Q63" s="21">
        <f t="shared" si="5"/>
        <v>1.0478663329351232E-3</v>
      </c>
    </row>
    <row r="64" spans="9:17" x14ac:dyDescent="0.2">
      <c r="I64" s="19">
        <v>250</v>
      </c>
      <c r="J64" s="20">
        <f t="shared" si="21"/>
        <v>0.25552000000000002</v>
      </c>
      <c r="K64" s="19">
        <f>+$B$9</f>
        <v>0.7</v>
      </c>
      <c r="L64" s="19">
        <f t="shared" si="22"/>
        <v>9.3649999999999997E-2</v>
      </c>
      <c r="M64" s="19">
        <f>+$C$9</f>
        <v>0.71414284285428498</v>
      </c>
      <c r="N64" s="20">
        <f t="shared" si="2"/>
        <v>245.74347723330379</v>
      </c>
      <c r="O64" s="21">
        <f t="shared" si="3"/>
        <v>1.69244819031201E-4</v>
      </c>
      <c r="P64" s="21">
        <f t="shared" si="4"/>
        <v>3.3848963806240199E-4</v>
      </c>
      <c r="Q64" s="21">
        <f t="shared" si="5"/>
        <v>1.015468914187206E-3</v>
      </c>
    </row>
    <row r="65" spans="9:17" x14ac:dyDescent="0.2">
      <c r="I65" s="19">
        <f>+$A$22</f>
        <v>350</v>
      </c>
      <c r="J65" s="20">
        <f>+$B$22</f>
        <v>0.18251999999999999</v>
      </c>
      <c r="K65" s="19">
        <f>+$B$3</f>
        <v>1</v>
      </c>
      <c r="L65" s="19">
        <f>+$C$22</f>
        <v>9.0709999999999999E-2</v>
      </c>
      <c r="M65" s="19">
        <f>+$C$3</f>
        <v>0</v>
      </c>
      <c r="N65" s="20">
        <f t="shared" ref="N65:N85" si="23">(J65*K65+L65*M65)*1000</f>
        <v>182.51999999999998</v>
      </c>
      <c r="O65" s="21">
        <f t="shared" ref="O65:O71" si="24">N65/(10*$A$5^2)</f>
        <v>1.2570247933884297E-4</v>
      </c>
      <c r="P65" s="21">
        <f t="shared" ref="P65:P71" si="25">O65*2</f>
        <v>2.5140495867768595E-4</v>
      </c>
      <c r="Q65" s="21">
        <f t="shared" ref="Q65:Q71" si="26">O65*6</f>
        <v>7.5421487603305785E-4</v>
      </c>
    </row>
    <row r="66" spans="9:17" x14ac:dyDescent="0.2">
      <c r="I66" s="19">
        <f t="shared" ref="I66:I71" si="27">+$A$22</f>
        <v>350</v>
      </c>
      <c r="J66" s="20">
        <f t="shared" ref="J66:J71" si="28">+$B$22</f>
        <v>0.18251999999999999</v>
      </c>
      <c r="K66" s="19">
        <f>+$B$4</f>
        <v>0.95</v>
      </c>
      <c r="L66" s="19">
        <f t="shared" ref="L66:L71" si="29">+$C$22</f>
        <v>9.0709999999999999E-2</v>
      </c>
      <c r="M66" s="19">
        <f>+$C$4</f>
        <v>0.31224989991992003</v>
      </c>
      <c r="N66" s="20">
        <f t="shared" si="23"/>
        <v>201.71818842173593</v>
      </c>
      <c r="O66" s="21">
        <f t="shared" si="24"/>
        <v>1.3892437219127822E-4</v>
      </c>
      <c r="P66" s="21">
        <f t="shared" si="25"/>
        <v>2.7784874438255644E-4</v>
      </c>
      <c r="Q66" s="21">
        <f t="shared" si="26"/>
        <v>8.3354623314766925E-4</v>
      </c>
    </row>
    <row r="67" spans="9:17" x14ac:dyDescent="0.2">
      <c r="I67" s="19">
        <f t="shared" si="27"/>
        <v>350</v>
      </c>
      <c r="J67" s="20">
        <f t="shared" si="28"/>
        <v>0.18251999999999999</v>
      </c>
      <c r="K67" s="19">
        <f>+$B$5</f>
        <v>0.9</v>
      </c>
      <c r="L67" s="19">
        <f t="shared" si="29"/>
        <v>9.0709999999999999E-2</v>
      </c>
      <c r="M67" s="19">
        <f>+$C$5</f>
        <v>0.43588989435406728</v>
      </c>
      <c r="N67" s="20">
        <f t="shared" si="23"/>
        <v>203.80757231685746</v>
      </c>
      <c r="O67" s="21">
        <f t="shared" si="24"/>
        <v>1.4036334181601756E-4</v>
      </c>
      <c r="P67" s="21">
        <f t="shared" si="25"/>
        <v>2.8072668363203512E-4</v>
      </c>
      <c r="Q67" s="21">
        <f t="shared" si="26"/>
        <v>8.4218005089610535E-4</v>
      </c>
    </row>
    <row r="68" spans="9:17" x14ac:dyDescent="0.2">
      <c r="I68" s="19">
        <f t="shared" si="27"/>
        <v>350</v>
      </c>
      <c r="J68" s="20">
        <f t="shared" si="28"/>
        <v>0.18251999999999999</v>
      </c>
      <c r="K68" s="19">
        <f>+$B$6</f>
        <v>0.85</v>
      </c>
      <c r="L68" s="19">
        <f t="shared" si="29"/>
        <v>9.0709999999999999E-2</v>
      </c>
      <c r="M68" s="19">
        <f>+$C$6</f>
        <v>0.52678268764263692</v>
      </c>
      <c r="N68" s="20">
        <f t="shared" si="23"/>
        <v>202.92645759606356</v>
      </c>
      <c r="O68" s="21">
        <f t="shared" si="24"/>
        <v>1.3975651349591156E-4</v>
      </c>
      <c r="P68" s="21">
        <f t="shared" si="25"/>
        <v>2.7951302699182312E-4</v>
      </c>
      <c r="Q68" s="21">
        <f t="shared" si="26"/>
        <v>8.3853908097546929E-4</v>
      </c>
    </row>
    <row r="69" spans="9:17" x14ac:dyDescent="0.2">
      <c r="I69" s="19">
        <f t="shared" si="27"/>
        <v>350</v>
      </c>
      <c r="J69" s="20">
        <f t="shared" si="28"/>
        <v>0.18251999999999999</v>
      </c>
      <c r="K69" s="19">
        <f>+$B$7</f>
        <v>0.8</v>
      </c>
      <c r="L69" s="19">
        <f t="shared" si="29"/>
        <v>9.0709999999999999E-2</v>
      </c>
      <c r="M69" s="19">
        <f>+$C$7</f>
        <v>0.59999999999999987</v>
      </c>
      <c r="N69" s="20">
        <f t="shared" si="23"/>
        <v>200.44200000000001</v>
      </c>
      <c r="O69" s="21">
        <f t="shared" si="24"/>
        <v>1.3804545454545458E-4</v>
      </c>
      <c r="P69" s="21">
        <f t="shared" si="25"/>
        <v>2.7609090909090915E-4</v>
      </c>
      <c r="Q69" s="21">
        <f t="shared" si="26"/>
        <v>8.2827272727272741E-4</v>
      </c>
    </row>
    <row r="70" spans="9:17" x14ac:dyDescent="0.2">
      <c r="I70" s="19">
        <f t="shared" si="27"/>
        <v>350</v>
      </c>
      <c r="J70" s="20">
        <f t="shared" si="28"/>
        <v>0.18251999999999999</v>
      </c>
      <c r="K70" s="19">
        <f>+$B$8</f>
        <v>0.75</v>
      </c>
      <c r="L70" s="19">
        <f t="shared" si="29"/>
        <v>9.0709999999999999E-2</v>
      </c>
      <c r="M70" s="19">
        <f>+$C$8</f>
        <v>0.66143782776614757</v>
      </c>
      <c r="N70" s="20">
        <f t="shared" si="23"/>
        <v>196.88902535666722</v>
      </c>
      <c r="O70" s="21">
        <f t="shared" si="24"/>
        <v>1.355985023117543E-4</v>
      </c>
      <c r="P70" s="21">
        <f t="shared" si="25"/>
        <v>2.7119700462350859E-4</v>
      </c>
      <c r="Q70" s="21">
        <f t="shared" si="26"/>
        <v>8.1359101387052583E-4</v>
      </c>
    </row>
    <row r="71" spans="9:17" x14ac:dyDescent="0.2">
      <c r="I71" s="19">
        <f t="shared" si="27"/>
        <v>350</v>
      </c>
      <c r="J71" s="20">
        <f t="shared" si="28"/>
        <v>0.18251999999999999</v>
      </c>
      <c r="K71" s="19">
        <f>+$B$9</f>
        <v>0.7</v>
      </c>
      <c r="L71" s="19">
        <f t="shared" si="29"/>
        <v>9.0709999999999999E-2</v>
      </c>
      <c r="M71" s="19">
        <f>+$C$9</f>
        <v>0.71414284285428498</v>
      </c>
      <c r="N71" s="20">
        <f t="shared" si="23"/>
        <v>192.54389727531219</v>
      </c>
      <c r="O71" s="21">
        <f t="shared" si="24"/>
        <v>1.3260598985903046E-4</v>
      </c>
      <c r="P71" s="21">
        <f t="shared" si="25"/>
        <v>2.6521197971806092E-4</v>
      </c>
      <c r="Q71" s="21">
        <f t="shared" si="26"/>
        <v>7.9563593915418275E-4</v>
      </c>
    </row>
    <row r="72" spans="9:17" x14ac:dyDescent="0.2">
      <c r="I72" s="19">
        <f>+$A$23</f>
        <v>400</v>
      </c>
      <c r="J72" s="20">
        <f>+$B$23</f>
        <v>0.15970999999999999</v>
      </c>
      <c r="K72" s="19">
        <f>+$B$3</f>
        <v>1</v>
      </c>
      <c r="L72" s="19">
        <f>+$C$23</f>
        <v>8.9630000000000001E-2</v>
      </c>
      <c r="M72" s="19">
        <f>+$C$3</f>
        <v>0</v>
      </c>
      <c r="N72" s="20">
        <f t="shared" si="23"/>
        <v>159.70999999999998</v>
      </c>
      <c r="O72" s="21">
        <f t="shared" ref="O72:O85" si="30">N72/(10*$A$5^2)</f>
        <v>1.099931129476584E-4</v>
      </c>
      <c r="P72" s="21">
        <f t="shared" ref="P72:P85" si="31">O72*2</f>
        <v>2.1998622589531681E-4</v>
      </c>
      <c r="Q72" s="21">
        <f t="shared" ref="Q72:Q85" si="32">O72*6</f>
        <v>6.5995867768595042E-4</v>
      </c>
    </row>
    <row r="73" spans="9:17" x14ac:dyDescent="0.2">
      <c r="I73" s="19">
        <f t="shared" ref="I73:I78" si="33">+$A$23</f>
        <v>400</v>
      </c>
      <c r="J73" s="20">
        <f t="shared" ref="J73:J78" si="34">+$B$23</f>
        <v>0.15970999999999999</v>
      </c>
      <c r="K73" s="19">
        <f>+$B$4</f>
        <v>0.95</v>
      </c>
      <c r="L73" s="19">
        <f t="shared" ref="L73:L78" si="35">+$C$23</f>
        <v>8.9630000000000001E-2</v>
      </c>
      <c r="M73" s="19">
        <f>+$C$4</f>
        <v>0.31224989991992003</v>
      </c>
      <c r="N73" s="20">
        <f t="shared" si="23"/>
        <v>179.71145852982244</v>
      </c>
      <c r="O73" s="21">
        <f t="shared" si="30"/>
        <v>1.2376822212797691E-4</v>
      </c>
      <c r="P73" s="21">
        <f t="shared" si="31"/>
        <v>2.4753644425595382E-4</v>
      </c>
      <c r="Q73" s="21">
        <f t="shared" si="32"/>
        <v>7.4260933276786142E-4</v>
      </c>
    </row>
    <row r="74" spans="9:17" x14ac:dyDescent="0.2">
      <c r="I74" s="19">
        <f t="shared" si="33"/>
        <v>400</v>
      </c>
      <c r="J74" s="20">
        <f t="shared" si="34"/>
        <v>0.15970999999999999</v>
      </c>
      <c r="K74" s="19">
        <f>+$B$5</f>
        <v>0.9</v>
      </c>
      <c r="L74" s="19">
        <f t="shared" si="35"/>
        <v>8.9630000000000001E-2</v>
      </c>
      <c r="M74" s="19">
        <f>+$C$5</f>
        <v>0.43588989435406728</v>
      </c>
      <c r="N74" s="20">
        <f t="shared" si="23"/>
        <v>182.80781123095505</v>
      </c>
      <c r="O74" s="21">
        <f t="shared" si="30"/>
        <v>1.259006964400517E-4</v>
      </c>
      <c r="P74" s="21">
        <f t="shared" si="31"/>
        <v>2.5180139288010341E-4</v>
      </c>
      <c r="Q74" s="21">
        <f t="shared" si="32"/>
        <v>7.5540417864031022E-4</v>
      </c>
    </row>
    <row r="75" spans="9:17" x14ac:dyDescent="0.2">
      <c r="I75" s="19">
        <f t="shared" si="33"/>
        <v>400</v>
      </c>
      <c r="J75" s="20">
        <f t="shared" si="34"/>
        <v>0.15970999999999999</v>
      </c>
      <c r="K75" s="19">
        <f>+$B$6</f>
        <v>0.85</v>
      </c>
      <c r="L75" s="19">
        <f t="shared" si="35"/>
        <v>8.9630000000000001E-2</v>
      </c>
      <c r="M75" s="19">
        <f>+$C$6</f>
        <v>0.52678268764263692</v>
      </c>
      <c r="N75" s="20">
        <f t="shared" si="23"/>
        <v>182.96903229340955</v>
      </c>
      <c r="O75" s="21">
        <f t="shared" si="30"/>
        <v>1.2601173022962092E-4</v>
      </c>
      <c r="P75" s="21">
        <f t="shared" si="31"/>
        <v>2.5202346045924184E-4</v>
      </c>
      <c r="Q75" s="21">
        <f t="shared" si="32"/>
        <v>7.5607038137772559E-4</v>
      </c>
    </row>
    <row r="76" spans="9:17" x14ac:dyDescent="0.2">
      <c r="I76" s="19">
        <f t="shared" si="33"/>
        <v>400</v>
      </c>
      <c r="J76" s="20">
        <f t="shared" si="34"/>
        <v>0.15970999999999999</v>
      </c>
      <c r="K76" s="19">
        <f>+$B$7</f>
        <v>0.8</v>
      </c>
      <c r="L76" s="19">
        <f t="shared" si="35"/>
        <v>8.9630000000000001E-2</v>
      </c>
      <c r="M76" s="19">
        <f>+$C$7</f>
        <v>0.59999999999999987</v>
      </c>
      <c r="N76" s="20">
        <f t="shared" si="23"/>
        <v>181.54599999999999</v>
      </c>
      <c r="O76" s="21">
        <f t="shared" si="30"/>
        <v>1.2503168044077136E-4</v>
      </c>
      <c r="P76" s="21">
        <f t="shared" si="31"/>
        <v>2.5006336088154272E-4</v>
      </c>
      <c r="Q76" s="21">
        <f t="shared" si="32"/>
        <v>7.5019008264462809E-4</v>
      </c>
    </row>
    <row r="77" spans="9:17" x14ac:dyDescent="0.2">
      <c r="I77" s="19">
        <f t="shared" si="33"/>
        <v>400</v>
      </c>
      <c r="J77" s="20">
        <f t="shared" si="34"/>
        <v>0.15970999999999999</v>
      </c>
      <c r="K77" s="19">
        <f>+$B$8</f>
        <v>0.75</v>
      </c>
      <c r="L77" s="19">
        <f t="shared" si="35"/>
        <v>8.9630000000000001E-2</v>
      </c>
      <c r="M77" s="19">
        <f>+$C$8</f>
        <v>0.66143782776614757</v>
      </c>
      <c r="N77" s="20">
        <f t="shared" si="23"/>
        <v>179.0671725026798</v>
      </c>
      <c r="O77" s="21">
        <f t="shared" si="30"/>
        <v>1.2332449896878777E-4</v>
      </c>
      <c r="P77" s="21">
        <f t="shared" si="31"/>
        <v>2.4664899793757554E-4</v>
      </c>
      <c r="Q77" s="21">
        <f t="shared" si="32"/>
        <v>7.3994699381272656E-4</v>
      </c>
    </row>
    <row r="78" spans="9:17" x14ac:dyDescent="0.2">
      <c r="I78" s="19">
        <f t="shared" si="33"/>
        <v>400</v>
      </c>
      <c r="J78" s="20">
        <f t="shared" si="34"/>
        <v>0.15970999999999999</v>
      </c>
      <c r="K78" s="19">
        <f>+$B$9</f>
        <v>0.7</v>
      </c>
      <c r="L78" s="19">
        <f t="shared" si="35"/>
        <v>8.9630000000000001E-2</v>
      </c>
      <c r="M78" s="19">
        <f>+$C$9</f>
        <v>0.71414284285428498</v>
      </c>
      <c r="N78" s="20">
        <f t="shared" si="23"/>
        <v>175.80562300502956</v>
      </c>
      <c r="O78" s="21">
        <f t="shared" si="30"/>
        <v>1.2107825275828484E-4</v>
      </c>
      <c r="P78" s="21">
        <f t="shared" si="31"/>
        <v>2.4215650551656968E-4</v>
      </c>
      <c r="Q78" s="21">
        <f t="shared" si="32"/>
        <v>7.2646951654970903E-4</v>
      </c>
    </row>
    <row r="79" spans="9:17" x14ac:dyDescent="0.2">
      <c r="I79" s="19">
        <f>+$A$24</f>
        <v>500</v>
      </c>
      <c r="J79" s="20">
        <f>+$B$24</f>
        <v>0.12776999999999999</v>
      </c>
      <c r="K79" s="19">
        <f>+$B$3</f>
        <v>1</v>
      </c>
      <c r="L79" s="19">
        <f>+$C$24</f>
        <v>8.7970000000000007E-2</v>
      </c>
      <c r="M79" s="19">
        <f>+$C$3</f>
        <v>0</v>
      </c>
      <c r="N79" s="20">
        <f t="shared" si="23"/>
        <v>127.77</v>
      </c>
      <c r="O79" s="21">
        <f t="shared" si="30"/>
        <v>8.7995867768595059E-5</v>
      </c>
      <c r="P79" s="21">
        <f t="shared" si="31"/>
        <v>1.7599173553719012E-4</v>
      </c>
      <c r="Q79" s="21">
        <f t="shared" si="32"/>
        <v>5.2797520661157038E-4</v>
      </c>
    </row>
    <row r="80" spans="9:17" x14ac:dyDescent="0.2">
      <c r="I80" s="19">
        <f t="shared" ref="I80:I85" si="36">+$A$24</f>
        <v>500</v>
      </c>
      <c r="J80" s="20">
        <f t="shared" ref="J80:J85" si="37">+$B$24</f>
        <v>0.12776999999999999</v>
      </c>
      <c r="K80" s="19">
        <f>+$B$4</f>
        <v>0.95</v>
      </c>
      <c r="L80" s="19">
        <f t="shared" ref="L80:L85" si="38">+$C$24</f>
        <v>8.7970000000000007E-2</v>
      </c>
      <c r="M80" s="19">
        <f>+$C$4</f>
        <v>0.31224989991992003</v>
      </c>
      <c r="N80" s="20">
        <f t="shared" si="23"/>
        <v>148.85012369595535</v>
      </c>
      <c r="O80" s="21">
        <f t="shared" si="30"/>
        <v>1.025138592947351E-4</v>
      </c>
      <c r="P80" s="21">
        <f t="shared" si="31"/>
        <v>2.050277185894702E-4</v>
      </c>
      <c r="Q80" s="21">
        <f t="shared" si="32"/>
        <v>6.1508315576841053E-4</v>
      </c>
    </row>
    <row r="81" spans="9:17" x14ac:dyDescent="0.2">
      <c r="I81" s="19">
        <f t="shared" si="36"/>
        <v>500</v>
      </c>
      <c r="J81" s="20">
        <f t="shared" si="37"/>
        <v>0.12776999999999999</v>
      </c>
      <c r="K81" s="19">
        <f>+$B$5</f>
        <v>0.9</v>
      </c>
      <c r="L81" s="19">
        <f t="shared" si="38"/>
        <v>8.7970000000000007E-2</v>
      </c>
      <c r="M81" s="19">
        <f>+$C$5</f>
        <v>0.43588989435406728</v>
      </c>
      <c r="N81" s="20">
        <f t="shared" si="23"/>
        <v>153.3382340063273</v>
      </c>
      <c r="O81" s="21">
        <f t="shared" si="30"/>
        <v>1.0560484435697473E-4</v>
      </c>
      <c r="P81" s="21">
        <f t="shared" si="31"/>
        <v>2.1120968871394947E-4</v>
      </c>
      <c r="Q81" s="21">
        <f t="shared" si="32"/>
        <v>6.3362906614184843E-4</v>
      </c>
    </row>
    <row r="82" spans="9:17" x14ac:dyDescent="0.2">
      <c r="I82" s="19">
        <f t="shared" si="36"/>
        <v>500</v>
      </c>
      <c r="J82" s="20">
        <f t="shared" si="37"/>
        <v>0.12776999999999999</v>
      </c>
      <c r="K82" s="19">
        <f>+$B$6</f>
        <v>0.85</v>
      </c>
      <c r="L82" s="19">
        <f t="shared" si="38"/>
        <v>8.7970000000000007E-2</v>
      </c>
      <c r="M82" s="19">
        <f>+$C$6</f>
        <v>0.52678268764263692</v>
      </c>
      <c r="N82" s="20">
        <f t="shared" si="23"/>
        <v>154.94557303192278</v>
      </c>
      <c r="O82" s="21">
        <f t="shared" si="30"/>
        <v>1.0671182715697162E-4</v>
      </c>
      <c r="P82" s="21">
        <f t="shared" si="31"/>
        <v>2.1342365431394324E-4</v>
      </c>
      <c r="Q82" s="21">
        <f t="shared" si="32"/>
        <v>6.4027096294182976E-4</v>
      </c>
    </row>
    <row r="83" spans="9:17" x14ac:dyDescent="0.2">
      <c r="I83" s="19">
        <f t="shared" si="36"/>
        <v>500</v>
      </c>
      <c r="J83" s="20">
        <f t="shared" si="37"/>
        <v>0.12776999999999999</v>
      </c>
      <c r="K83" s="19">
        <f>+$B$7</f>
        <v>0.8</v>
      </c>
      <c r="L83" s="19">
        <f t="shared" si="38"/>
        <v>8.7970000000000007E-2</v>
      </c>
      <c r="M83" s="19">
        <f>+$C$7</f>
        <v>0.59999999999999987</v>
      </c>
      <c r="N83" s="20">
        <f t="shared" si="23"/>
        <v>154.99799999999999</v>
      </c>
      <c r="O83" s="21">
        <f t="shared" si="30"/>
        <v>1.0674793388429753E-4</v>
      </c>
      <c r="P83" s="21">
        <f t="shared" si="31"/>
        <v>2.1349586776859506E-4</v>
      </c>
      <c r="Q83" s="21">
        <f t="shared" si="32"/>
        <v>6.4048760330578523E-4</v>
      </c>
    </row>
    <row r="84" spans="9:17" x14ac:dyDescent="0.2">
      <c r="I84" s="19">
        <f t="shared" si="36"/>
        <v>500</v>
      </c>
      <c r="J84" s="20">
        <f t="shared" si="37"/>
        <v>0.12776999999999999</v>
      </c>
      <c r="K84" s="19">
        <f>+$B$8</f>
        <v>0.75</v>
      </c>
      <c r="L84" s="19">
        <f t="shared" si="38"/>
        <v>8.7970000000000007E-2</v>
      </c>
      <c r="M84" s="19">
        <f>+$C$8</f>
        <v>0.66143782776614757</v>
      </c>
      <c r="N84" s="20">
        <f t="shared" si="23"/>
        <v>154.014185708588</v>
      </c>
      <c r="O84" s="21">
        <f t="shared" si="30"/>
        <v>1.060703758323609E-4</v>
      </c>
      <c r="P84" s="21">
        <f t="shared" si="31"/>
        <v>2.121407516647218E-4</v>
      </c>
      <c r="Q84" s="21">
        <f t="shared" si="32"/>
        <v>6.3642225499416542E-4</v>
      </c>
    </row>
    <row r="85" spans="9:17" x14ac:dyDescent="0.2">
      <c r="I85" s="19">
        <f t="shared" si="36"/>
        <v>500</v>
      </c>
      <c r="J85" s="20">
        <f t="shared" si="37"/>
        <v>0.12776999999999999</v>
      </c>
      <c r="K85" s="19">
        <f>+$B$9</f>
        <v>0.7</v>
      </c>
      <c r="L85" s="19">
        <f t="shared" si="38"/>
        <v>8.7970000000000007E-2</v>
      </c>
      <c r="M85" s="19">
        <f>+$C$9</f>
        <v>0.71414284285428498</v>
      </c>
      <c r="N85" s="20">
        <f t="shared" si="23"/>
        <v>152.26214588589144</v>
      </c>
      <c r="O85" s="21">
        <f t="shared" si="30"/>
        <v>1.048637368360134E-4</v>
      </c>
      <c r="P85" s="21">
        <f t="shared" si="31"/>
        <v>2.0972747367202681E-4</v>
      </c>
      <c r="Q85" s="21">
        <f t="shared" si="32"/>
        <v>6.2918242101608045E-4</v>
      </c>
    </row>
    <row r="93" spans="9:17" x14ac:dyDescent="0.2">
      <c r="O93" s="18">
        <f>2000*O39</f>
        <v>4.2107000000000001</v>
      </c>
    </row>
    <row r="95" spans="9:17" x14ac:dyDescent="0.2">
      <c r="P95" s="93">
        <f>(O39*2*1.02018)</f>
        <v>4.2956719260000007E-3</v>
      </c>
    </row>
  </sheetData>
  <mergeCells count="8">
    <mergeCell ref="A1:G1"/>
    <mergeCell ref="A11:A12"/>
    <mergeCell ref="B11:C11"/>
    <mergeCell ref="A25:A27"/>
    <mergeCell ref="B25:G25"/>
    <mergeCell ref="B26:C26"/>
    <mergeCell ref="D26:E26"/>
    <mergeCell ref="F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2060"/>
  </sheetPr>
  <dimension ref="B6:I70"/>
  <sheetViews>
    <sheetView topLeftCell="B1" workbookViewId="0">
      <selection activeCell="K26" sqref="K26"/>
    </sheetView>
  </sheetViews>
  <sheetFormatPr baseColWidth="10" defaultRowHeight="11.25" x14ac:dyDescent="0.2"/>
  <cols>
    <col min="1" max="2" width="11.42578125" style="3"/>
    <col min="3" max="3" width="13.7109375" style="3" bestFit="1" customWidth="1"/>
    <col min="4" max="6" width="11.85546875" style="3" customWidth="1"/>
    <col min="7" max="7" width="9.140625" style="3"/>
    <col min="8" max="9" width="16.5703125" style="3" customWidth="1"/>
    <col min="10" max="16384" width="11.42578125" style="3"/>
  </cols>
  <sheetData>
    <row r="6" spans="3:9" x14ac:dyDescent="0.2">
      <c r="H6" s="4" t="s">
        <v>52</v>
      </c>
      <c r="I6" s="4" t="s">
        <v>53</v>
      </c>
    </row>
    <row r="7" spans="3:9" x14ac:dyDescent="0.2">
      <c r="H7" s="5" t="s">
        <v>131</v>
      </c>
      <c r="I7" s="21" t="str">
        <f>B41</f>
        <v>1,46878E-02 4</v>
      </c>
    </row>
    <row r="8" spans="3:9" x14ac:dyDescent="0.2">
      <c r="H8" s="5" t="s">
        <v>132</v>
      </c>
      <c r="I8" s="21">
        <f>B40</f>
        <v>9.30835E-3</v>
      </c>
    </row>
    <row r="9" spans="3:9" x14ac:dyDescent="0.2">
      <c r="H9" s="5" t="s">
        <v>133</v>
      </c>
      <c r="I9" s="21">
        <f>B39</f>
        <v>5.9186899999999999E-3</v>
      </c>
    </row>
    <row r="10" spans="3:9" x14ac:dyDescent="0.2">
      <c r="H10" s="5" t="s">
        <v>134</v>
      </c>
      <c r="I10" s="21">
        <f>B38</f>
        <v>3.78474E-3</v>
      </c>
    </row>
    <row r="11" spans="3:9" x14ac:dyDescent="0.2">
      <c r="H11" s="5" t="s">
        <v>135</v>
      </c>
      <c r="I11" s="21">
        <f>B37</f>
        <v>3.0395499999999998E-3</v>
      </c>
    </row>
    <row r="12" spans="3:9" x14ac:dyDescent="0.2">
      <c r="C12" s="139" t="s">
        <v>24</v>
      </c>
      <c r="D12" s="136" t="s">
        <v>15</v>
      </c>
      <c r="E12" s="137"/>
      <c r="F12" s="138"/>
      <c r="H12" s="5" t="s">
        <v>136</v>
      </c>
      <c r="I12" s="21">
        <f>B36</f>
        <v>2.4446799999999999E-3</v>
      </c>
    </row>
    <row r="13" spans="3:9" x14ac:dyDescent="0.2">
      <c r="C13" s="140"/>
      <c r="D13" s="28" t="s">
        <v>9</v>
      </c>
      <c r="E13" s="28" t="s">
        <v>10</v>
      </c>
      <c r="F13" s="28" t="s">
        <v>11</v>
      </c>
      <c r="H13" s="5" t="s">
        <v>137</v>
      </c>
      <c r="I13" s="21">
        <f>B35</f>
        <v>1.9718600000000002E-3</v>
      </c>
    </row>
    <row r="14" spans="3:9" x14ac:dyDescent="0.2">
      <c r="C14" s="29">
        <v>8</v>
      </c>
      <c r="D14" s="21"/>
      <c r="E14" s="21"/>
      <c r="F14" s="21">
        <v>1.4687800000000001E-2</v>
      </c>
      <c r="H14" s="5" t="s">
        <v>138</v>
      </c>
      <c r="I14" s="21">
        <f>B34</f>
        <v>1.29762E-3</v>
      </c>
    </row>
    <row r="15" spans="3:9" x14ac:dyDescent="0.2">
      <c r="C15" s="29">
        <v>6</v>
      </c>
      <c r="D15" s="21"/>
      <c r="E15" s="21"/>
      <c r="F15" s="21">
        <v>9.30835E-3</v>
      </c>
      <c r="H15" s="5" t="s">
        <v>139</v>
      </c>
      <c r="I15" s="21">
        <f>B33</f>
        <v>1.12517E-3</v>
      </c>
    </row>
    <row r="16" spans="3:9" x14ac:dyDescent="0.2">
      <c r="C16" s="29">
        <v>4</v>
      </c>
      <c r="D16" s="21"/>
      <c r="E16" s="21"/>
      <c r="F16" s="21">
        <v>5.9186899999999999E-3</v>
      </c>
      <c r="H16" s="5" t="s">
        <v>140</v>
      </c>
      <c r="I16" s="21">
        <f>B32</f>
        <v>8.4683100000000004E-4</v>
      </c>
    </row>
    <row r="17" spans="2:9" x14ac:dyDescent="0.2">
      <c r="C17" s="29">
        <v>2</v>
      </c>
      <c r="D17" s="21"/>
      <c r="E17" s="21"/>
      <c r="F17" s="21">
        <v>3.78474E-3</v>
      </c>
      <c r="H17" s="5" t="s">
        <v>141</v>
      </c>
      <c r="I17" s="21">
        <f>B31</f>
        <v>7.59584E-4</v>
      </c>
    </row>
    <row r="18" spans="2:9" x14ac:dyDescent="0.2">
      <c r="C18" s="29">
        <v>1</v>
      </c>
      <c r="D18" s="21"/>
      <c r="E18" s="21"/>
      <c r="F18" s="21">
        <v>3.0395499999999998E-3</v>
      </c>
      <c r="H18" s="91" t="s">
        <v>142</v>
      </c>
      <c r="I18" s="21">
        <f>B30</f>
        <v>6.3712299999999996E-4</v>
      </c>
    </row>
    <row r="19" spans="2:9" x14ac:dyDescent="0.2">
      <c r="C19" s="29" t="s">
        <v>8</v>
      </c>
      <c r="D19" s="21"/>
      <c r="E19" s="21"/>
      <c r="F19" s="21">
        <v>2.4446799999999999E-3</v>
      </c>
      <c r="H19" s="5" t="s">
        <v>147</v>
      </c>
      <c r="I19" s="6"/>
    </row>
    <row r="20" spans="2:9" x14ac:dyDescent="0.2">
      <c r="C20" s="30" t="s">
        <v>0</v>
      </c>
      <c r="D20" s="21"/>
      <c r="E20" s="21"/>
      <c r="F20" s="21">
        <v>1.9718600000000002E-3</v>
      </c>
      <c r="H20" s="5" t="s">
        <v>148</v>
      </c>
      <c r="I20" s="6"/>
    </row>
    <row r="21" spans="2:9" ht="12.75" x14ac:dyDescent="0.2">
      <c r="C21" s="30" t="s">
        <v>12</v>
      </c>
      <c r="D21" s="21"/>
      <c r="E21" s="21"/>
      <c r="F21" s="21">
        <v>1.29762E-3</v>
      </c>
      <c r="H21" s="5" t="s">
        <v>149</v>
      </c>
      <c r="I21" s="130">
        <v>2.98482E-3</v>
      </c>
    </row>
    <row r="22" spans="2:9" x14ac:dyDescent="0.2">
      <c r="C22" s="29">
        <v>250</v>
      </c>
      <c r="D22" s="21"/>
      <c r="E22" s="21"/>
      <c r="F22" s="21">
        <v>1.12517E-3</v>
      </c>
      <c r="H22" s="5" t="s">
        <v>150</v>
      </c>
      <c r="I22" s="6"/>
    </row>
    <row r="23" spans="2:9" x14ac:dyDescent="0.2">
      <c r="C23" s="29">
        <v>350</v>
      </c>
      <c r="D23" s="21"/>
      <c r="E23" s="21"/>
      <c r="F23" s="21">
        <v>8.4683100000000004E-4</v>
      </c>
      <c r="H23" s="5" t="s">
        <v>151</v>
      </c>
      <c r="I23" s="6"/>
    </row>
    <row r="24" spans="2:9" x14ac:dyDescent="0.2">
      <c r="C24" s="29">
        <v>400</v>
      </c>
      <c r="D24" s="21"/>
      <c r="E24" s="21"/>
      <c r="F24" s="21">
        <v>7.59584E-4</v>
      </c>
      <c r="H24" s="5" t="s">
        <v>152</v>
      </c>
      <c r="I24" s="6"/>
    </row>
    <row r="25" spans="2:9" x14ac:dyDescent="0.2">
      <c r="C25" s="29">
        <v>500</v>
      </c>
      <c r="D25" s="21"/>
      <c r="E25" s="21"/>
      <c r="F25" s="21">
        <v>6.3712299999999996E-4</v>
      </c>
      <c r="H25" s="5" t="s">
        <v>153</v>
      </c>
      <c r="I25" s="6"/>
    </row>
    <row r="26" spans="2:9" x14ac:dyDescent="0.2">
      <c r="C26" s="7"/>
      <c r="D26" s="8"/>
      <c r="E26" s="8"/>
      <c r="F26" s="8"/>
      <c r="H26" s="5" t="s">
        <v>154</v>
      </c>
      <c r="I26" s="6"/>
    </row>
    <row r="27" spans="2:9" x14ac:dyDescent="0.2">
      <c r="C27" s="9"/>
      <c r="D27" s="10"/>
      <c r="E27" s="10"/>
      <c r="F27" s="10"/>
      <c r="H27" s="5" t="s">
        <v>155</v>
      </c>
      <c r="I27" s="6"/>
    </row>
    <row r="28" spans="2:9" x14ac:dyDescent="0.2">
      <c r="C28" s="9"/>
      <c r="D28" s="10"/>
      <c r="E28" s="10"/>
      <c r="F28" s="10"/>
      <c r="H28" s="5" t="s">
        <v>156</v>
      </c>
      <c r="I28" s="6"/>
    </row>
    <row r="29" spans="2:9" ht="12" thickBot="1" x14ac:dyDescent="0.25">
      <c r="C29" s="9"/>
      <c r="D29" s="10"/>
      <c r="E29" s="10"/>
      <c r="F29" s="10"/>
      <c r="H29" s="5" t="s">
        <v>157</v>
      </c>
      <c r="I29" s="6"/>
    </row>
    <row r="30" spans="2:9" x14ac:dyDescent="0.2">
      <c r="B30" s="119">
        <v>6.3712299999999996E-4</v>
      </c>
      <c r="C30" s="120">
        <v>500</v>
      </c>
      <c r="D30" s="143" t="s">
        <v>145</v>
      </c>
      <c r="E30" s="145" t="s">
        <v>146</v>
      </c>
      <c r="F30" s="10"/>
      <c r="H30" s="91" t="s">
        <v>158</v>
      </c>
      <c r="I30" s="6"/>
    </row>
    <row r="31" spans="2:9" x14ac:dyDescent="0.2">
      <c r="B31" s="121">
        <v>7.59584E-4</v>
      </c>
      <c r="C31" s="3">
        <v>400</v>
      </c>
      <c r="D31" s="144"/>
      <c r="E31" s="146"/>
      <c r="F31" s="10"/>
      <c r="H31" s="5" t="s">
        <v>16</v>
      </c>
      <c r="I31" s="6">
        <f>B58</f>
        <v>8.1704700000000009E-3</v>
      </c>
    </row>
    <row r="32" spans="2:9" x14ac:dyDescent="0.2">
      <c r="B32" s="121">
        <v>8.4683100000000004E-4</v>
      </c>
      <c r="C32" s="3">
        <v>350</v>
      </c>
      <c r="D32" s="144"/>
      <c r="E32" s="146"/>
      <c r="F32" s="10"/>
      <c r="H32" s="5" t="s">
        <v>17</v>
      </c>
      <c r="I32" s="6">
        <f>B57</f>
        <v>5.1780000000000003E-3</v>
      </c>
    </row>
    <row r="33" spans="2:9" x14ac:dyDescent="0.2">
      <c r="B33" s="121">
        <v>1.12517E-3</v>
      </c>
      <c r="C33" s="3">
        <v>250</v>
      </c>
      <c r="D33" s="144"/>
      <c r="E33" s="146"/>
      <c r="F33" s="10"/>
      <c r="H33" s="5" t="s">
        <v>18</v>
      </c>
      <c r="I33" s="6">
        <f>B56</f>
        <v>3.2924199999999999E-3</v>
      </c>
    </row>
    <row r="34" spans="2:9" x14ac:dyDescent="0.2">
      <c r="B34" s="121">
        <v>1.29762E-3</v>
      </c>
      <c r="C34" s="3" t="s">
        <v>12</v>
      </c>
      <c r="D34" s="144"/>
      <c r="E34" s="146"/>
      <c r="F34" s="10"/>
      <c r="H34" s="5" t="s">
        <v>19</v>
      </c>
      <c r="I34" s="6">
        <f>B55</f>
        <v>2.1053500000000002E-3</v>
      </c>
    </row>
    <row r="35" spans="2:9" x14ac:dyDescent="0.2">
      <c r="B35" s="121">
        <v>1.9718600000000002E-3</v>
      </c>
      <c r="C35" s="3" t="s">
        <v>0</v>
      </c>
      <c r="D35" s="144"/>
      <c r="E35" s="146"/>
      <c r="F35" s="10"/>
      <c r="H35" s="5" t="s">
        <v>128</v>
      </c>
      <c r="I35" s="6">
        <f>B54</f>
        <v>1.6908299999999999E-3</v>
      </c>
    </row>
    <row r="36" spans="2:9" x14ac:dyDescent="0.2">
      <c r="B36" s="121">
        <v>2.4446799999999999E-3</v>
      </c>
      <c r="C36" s="3" t="s">
        <v>8</v>
      </c>
      <c r="D36" s="144"/>
      <c r="E36" s="146"/>
      <c r="H36" s="5" t="s">
        <v>20</v>
      </c>
      <c r="I36" s="6">
        <f>B53</f>
        <v>1.35991E-3</v>
      </c>
    </row>
    <row r="37" spans="2:9" x14ac:dyDescent="0.2">
      <c r="B37" s="121">
        <v>3.0395499999999998E-3</v>
      </c>
      <c r="C37" s="3">
        <v>1</v>
      </c>
      <c r="D37" s="144"/>
      <c r="E37" s="146"/>
      <c r="H37" s="5" t="s">
        <v>21</v>
      </c>
      <c r="I37" s="6">
        <f>B52</f>
        <v>1.0969E-3</v>
      </c>
    </row>
    <row r="38" spans="2:9" x14ac:dyDescent="0.2">
      <c r="B38" s="121">
        <v>3.78474E-3</v>
      </c>
      <c r="C38" s="3">
        <v>2</v>
      </c>
      <c r="D38" s="144"/>
      <c r="E38" s="146"/>
      <c r="H38" s="5" t="s">
        <v>22</v>
      </c>
      <c r="I38" s="6">
        <f>B51</f>
        <v>7.2183399999999997E-4</v>
      </c>
    </row>
    <row r="39" spans="2:9" x14ac:dyDescent="0.2">
      <c r="B39" s="121">
        <v>5.9186899999999999E-3</v>
      </c>
      <c r="C39" s="3">
        <v>4</v>
      </c>
      <c r="D39" s="144"/>
      <c r="E39" s="146"/>
      <c r="H39" s="5" t="s">
        <v>100</v>
      </c>
      <c r="I39" s="6">
        <f>B50</f>
        <v>6.2590400000000004E-4</v>
      </c>
    </row>
    <row r="40" spans="2:9" x14ac:dyDescent="0.2">
      <c r="B40" s="121">
        <v>9.30835E-3</v>
      </c>
      <c r="C40" s="3">
        <v>6</v>
      </c>
      <c r="D40" s="144"/>
      <c r="E40" s="146"/>
      <c r="H40" s="5" t="s">
        <v>94</v>
      </c>
      <c r="I40" s="6">
        <f>B49</f>
        <v>4.7107099999999999E-4</v>
      </c>
    </row>
    <row r="41" spans="2:9" x14ac:dyDescent="0.2">
      <c r="B41" s="122" t="s">
        <v>144</v>
      </c>
      <c r="C41" s="3">
        <v>8</v>
      </c>
      <c r="D41" s="144"/>
      <c r="E41" s="146"/>
      <c r="H41" s="5" t="s">
        <v>129</v>
      </c>
      <c r="I41" s="6">
        <f>B48</f>
        <v>4.2253700000000001E-4</v>
      </c>
    </row>
    <row r="42" spans="2:9" x14ac:dyDescent="0.2">
      <c r="B42" s="123"/>
      <c r="C42" s="124"/>
      <c r="D42" s="144"/>
      <c r="E42" s="146"/>
      <c r="H42" s="91" t="s">
        <v>101</v>
      </c>
      <c r="I42" s="6">
        <f>B47</f>
        <v>3.5441599999999998E-4</v>
      </c>
    </row>
    <row r="43" spans="2:9" x14ac:dyDescent="0.2">
      <c r="B43" s="117"/>
      <c r="E43" s="146"/>
    </row>
    <row r="44" spans="2:9" x14ac:dyDescent="0.2">
      <c r="B44" s="117"/>
      <c r="E44" s="146"/>
    </row>
    <row r="45" spans="2:9" x14ac:dyDescent="0.2">
      <c r="B45" s="117"/>
      <c r="E45" s="146"/>
    </row>
    <row r="46" spans="2:9" x14ac:dyDescent="0.2">
      <c r="B46" s="117"/>
      <c r="E46" s="146"/>
    </row>
    <row r="47" spans="2:9" x14ac:dyDescent="0.2">
      <c r="B47" s="121">
        <v>3.5441599999999998E-4</v>
      </c>
      <c r="C47" s="3">
        <v>500</v>
      </c>
      <c r="D47" s="141" t="s">
        <v>143</v>
      </c>
      <c r="E47" s="146"/>
    </row>
    <row r="48" spans="2:9" x14ac:dyDescent="0.2">
      <c r="B48" s="121">
        <v>4.2253700000000001E-4</v>
      </c>
      <c r="C48" s="3">
        <v>400</v>
      </c>
      <c r="D48" s="142"/>
      <c r="E48" s="146"/>
    </row>
    <row r="49" spans="2:5" x14ac:dyDescent="0.2">
      <c r="B49" s="121">
        <v>4.7107099999999999E-4</v>
      </c>
      <c r="C49" s="3">
        <v>350</v>
      </c>
      <c r="D49" s="142"/>
      <c r="E49" s="146"/>
    </row>
    <row r="50" spans="2:5" x14ac:dyDescent="0.2">
      <c r="B50" s="121">
        <v>6.2590400000000004E-4</v>
      </c>
      <c r="C50" s="3">
        <v>250</v>
      </c>
      <c r="D50" s="142"/>
      <c r="E50" s="146"/>
    </row>
    <row r="51" spans="2:5" x14ac:dyDescent="0.2">
      <c r="B51" s="121">
        <v>7.2183399999999997E-4</v>
      </c>
      <c r="C51" s="3" t="s">
        <v>12</v>
      </c>
      <c r="D51" s="142"/>
      <c r="E51" s="146"/>
    </row>
    <row r="52" spans="2:5" x14ac:dyDescent="0.2">
      <c r="B52" s="121">
        <v>1.0969E-3</v>
      </c>
      <c r="C52" s="3" t="s">
        <v>0</v>
      </c>
      <c r="D52" s="142"/>
      <c r="E52" s="146"/>
    </row>
    <row r="53" spans="2:5" x14ac:dyDescent="0.2">
      <c r="B53" s="121">
        <v>1.35991E-3</v>
      </c>
      <c r="C53" s="3" t="s">
        <v>8</v>
      </c>
      <c r="D53" s="142"/>
      <c r="E53" s="146"/>
    </row>
    <row r="54" spans="2:5" x14ac:dyDescent="0.2">
      <c r="B54" s="121">
        <v>1.6908299999999999E-3</v>
      </c>
      <c r="C54" s="3">
        <v>1</v>
      </c>
      <c r="D54" s="142"/>
      <c r="E54" s="146"/>
    </row>
    <row r="55" spans="2:5" x14ac:dyDescent="0.2">
      <c r="B55" s="121">
        <v>2.1053500000000002E-3</v>
      </c>
      <c r="C55" s="3">
        <v>2</v>
      </c>
      <c r="D55" s="142"/>
      <c r="E55" s="146"/>
    </row>
    <row r="56" spans="2:5" x14ac:dyDescent="0.2">
      <c r="B56" s="121">
        <v>3.2924199999999999E-3</v>
      </c>
      <c r="C56" s="3">
        <v>4</v>
      </c>
      <c r="D56" s="142"/>
      <c r="E56" s="146"/>
    </row>
    <row r="57" spans="2:5" x14ac:dyDescent="0.2">
      <c r="B57" s="121">
        <v>5.1780000000000003E-3</v>
      </c>
      <c r="C57" s="3">
        <v>6</v>
      </c>
      <c r="D57" s="142"/>
      <c r="E57" s="146"/>
    </row>
    <row r="58" spans="2:5" ht="12" thickBot="1" x14ac:dyDescent="0.25">
      <c r="B58" s="125">
        <v>8.1704700000000009E-3</v>
      </c>
      <c r="C58" s="126">
        <v>8</v>
      </c>
      <c r="D58" s="126"/>
      <c r="E58" s="127"/>
    </row>
    <row r="59" spans="2:5" x14ac:dyDescent="0.2">
      <c r="E59" s="11"/>
    </row>
    <row r="60" spans="2:5" x14ac:dyDescent="0.2">
      <c r="E60" s="11"/>
    </row>
    <row r="61" spans="2:5" x14ac:dyDescent="0.2">
      <c r="E61" s="11"/>
    </row>
    <row r="62" spans="2:5" x14ac:dyDescent="0.2">
      <c r="E62" s="11"/>
    </row>
    <row r="63" spans="2:5" x14ac:dyDescent="0.2">
      <c r="E63" s="11"/>
    </row>
    <row r="64" spans="2:5" x14ac:dyDescent="0.2">
      <c r="E64" s="11"/>
    </row>
    <row r="65" spans="5:9" x14ac:dyDescent="0.2">
      <c r="E65" s="11"/>
      <c r="H65" s="12"/>
      <c r="I65" s="12"/>
    </row>
    <row r="66" spans="5:9" x14ac:dyDescent="0.2">
      <c r="E66" s="11"/>
      <c r="H66" s="12"/>
      <c r="I66" s="12"/>
    </row>
    <row r="67" spans="5:9" x14ac:dyDescent="0.2">
      <c r="E67" s="11"/>
      <c r="H67" s="12"/>
      <c r="I67" s="12"/>
    </row>
    <row r="68" spans="5:9" x14ac:dyDescent="0.2">
      <c r="E68" s="11"/>
      <c r="H68" s="12"/>
      <c r="I68" s="12"/>
    </row>
    <row r="69" spans="5:9" x14ac:dyDescent="0.2">
      <c r="H69" s="12"/>
      <c r="I69" s="12"/>
    </row>
    <row r="70" spans="5:9" x14ac:dyDescent="0.2">
      <c r="H70" s="12"/>
      <c r="I70" s="12"/>
    </row>
  </sheetData>
  <mergeCells count="5">
    <mergeCell ref="D12:F12"/>
    <mergeCell ref="C12:C13"/>
    <mergeCell ref="D47:D57"/>
    <mergeCell ref="D30:D42"/>
    <mergeCell ref="E30:E57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109"/>
  <sheetViews>
    <sheetView showGridLines="0" view="pageBreakPreview" topLeftCell="A67" zoomScaleSheetLayoutView="100" workbookViewId="0">
      <selection activeCell="P17" sqref="P17"/>
    </sheetView>
  </sheetViews>
  <sheetFormatPr baseColWidth="10" defaultRowHeight="11.25" x14ac:dyDescent="0.2"/>
  <cols>
    <col min="1" max="1" width="8.5703125" style="51" customWidth="1"/>
    <col min="2" max="2" width="34.5703125" style="51" customWidth="1"/>
    <col min="3" max="3" width="8.28515625" style="51" customWidth="1"/>
    <col min="4" max="4" width="9.7109375" style="51" bestFit="1" customWidth="1"/>
    <col min="5" max="5" width="10.85546875" style="51" customWidth="1"/>
    <col min="6" max="6" width="9.42578125" style="51" customWidth="1"/>
    <col min="7" max="12" width="8.28515625" style="51" customWidth="1"/>
    <col min="13" max="13" width="8.28515625" style="1" customWidth="1"/>
    <col min="14" max="15" width="8.28515625" style="51" customWidth="1"/>
    <col min="16" max="16" width="8" style="51" bestFit="1" customWidth="1"/>
    <col min="17" max="17" width="8.5703125" style="51" customWidth="1"/>
    <col min="18" max="18" width="34.5703125" style="51" customWidth="1"/>
    <col min="19" max="19" width="8.85546875" style="51" customWidth="1"/>
    <col min="20" max="251" width="9.140625" style="51"/>
    <col min="252" max="252" width="9.42578125" style="51" bestFit="1" customWidth="1"/>
    <col min="253" max="253" width="21.5703125" style="51" bestFit="1" customWidth="1"/>
    <col min="254" max="254" width="6.5703125" style="51" bestFit="1" customWidth="1"/>
    <col min="255" max="255" width="6" style="51" bestFit="1" customWidth="1"/>
    <col min="256" max="256" width="7" style="51" bestFit="1" customWidth="1"/>
    <col min="257" max="257" width="6.28515625" style="51" customWidth="1"/>
    <col min="258" max="258" width="6.140625" style="51" customWidth="1"/>
    <col min="259" max="259" width="5.7109375" style="51" bestFit="1" customWidth="1"/>
    <col min="260" max="261" width="5.85546875" style="51" bestFit="1" customWidth="1"/>
    <col min="262" max="262" width="6" style="51" bestFit="1" customWidth="1"/>
    <col min="263" max="263" width="5.7109375" style="51" bestFit="1" customWidth="1"/>
    <col min="264" max="264" width="5.85546875" style="51" bestFit="1" customWidth="1"/>
    <col min="265" max="265" width="4.85546875" style="51" customWidth="1"/>
    <col min="266" max="266" width="21.5703125" style="51" bestFit="1" customWidth="1"/>
    <col min="267" max="507" width="9.140625" style="51"/>
    <col min="508" max="508" width="9.42578125" style="51" bestFit="1" customWidth="1"/>
    <col min="509" max="509" width="21.5703125" style="51" bestFit="1" customWidth="1"/>
    <col min="510" max="510" width="6.5703125" style="51" bestFit="1" customWidth="1"/>
    <col min="511" max="511" width="6" style="51" bestFit="1" customWidth="1"/>
    <col min="512" max="512" width="7" style="51" bestFit="1" customWidth="1"/>
    <col min="513" max="513" width="6.28515625" style="51" customWidth="1"/>
    <col min="514" max="514" width="6.140625" style="51" customWidth="1"/>
    <col min="515" max="515" width="5.7109375" style="51" bestFit="1" customWidth="1"/>
    <col min="516" max="517" width="5.85546875" style="51" bestFit="1" customWidth="1"/>
    <col min="518" max="518" width="6" style="51" bestFit="1" customWidth="1"/>
    <col min="519" max="519" width="5.7109375" style="51" bestFit="1" customWidth="1"/>
    <col min="520" max="520" width="5.85546875" style="51" bestFit="1" customWidth="1"/>
    <col min="521" max="521" width="4.85546875" style="51" customWidth="1"/>
    <col min="522" max="522" width="21.5703125" style="51" bestFit="1" customWidth="1"/>
    <col min="523" max="763" width="9.140625" style="51"/>
    <col min="764" max="764" width="9.42578125" style="51" bestFit="1" customWidth="1"/>
    <col min="765" max="765" width="21.5703125" style="51" bestFit="1" customWidth="1"/>
    <col min="766" max="766" width="6.5703125" style="51" bestFit="1" customWidth="1"/>
    <col min="767" max="767" width="6" style="51" bestFit="1" customWidth="1"/>
    <col min="768" max="768" width="7" style="51" bestFit="1" customWidth="1"/>
    <col min="769" max="769" width="6.28515625" style="51" customWidth="1"/>
    <col min="770" max="770" width="6.140625" style="51" customWidth="1"/>
    <col min="771" max="771" width="5.7109375" style="51" bestFit="1" customWidth="1"/>
    <col min="772" max="773" width="5.85546875" style="51" bestFit="1" customWidth="1"/>
    <col min="774" max="774" width="6" style="51" bestFit="1" customWidth="1"/>
    <col min="775" max="775" width="5.7109375" style="51" bestFit="1" customWidth="1"/>
    <col min="776" max="776" width="5.85546875" style="51" bestFit="1" customWidth="1"/>
    <col min="777" max="777" width="4.85546875" style="51" customWidth="1"/>
    <col min="778" max="778" width="21.5703125" style="51" bestFit="1" customWidth="1"/>
    <col min="779" max="1019" width="11.42578125" style="51"/>
    <col min="1020" max="1020" width="9.42578125" style="51" bestFit="1" customWidth="1"/>
    <col min="1021" max="1021" width="21.5703125" style="51" bestFit="1" customWidth="1"/>
    <col min="1022" max="1022" width="6.5703125" style="51" bestFit="1" customWidth="1"/>
    <col min="1023" max="1023" width="6" style="51" bestFit="1" customWidth="1"/>
    <col min="1024" max="1024" width="7" style="51" bestFit="1" customWidth="1"/>
    <col min="1025" max="1025" width="6.28515625" style="51" customWidth="1"/>
    <col min="1026" max="1026" width="6.140625" style="51" customWidth="1"/>
    <col min="1027" max="1027" width="5.7109375" style="51" bestFit="1" customWidth="1"/>
    <col min="1028" max="1029" width="5.85546875" style="51" bestFit="1" customWidth="1"/>
    <col min="1030" max="1030" width="6" style="51" bestFit="1" customWidth="1"/>
    <col min="1031" max="1031" width="5.7109375" style="51" bestFit="1" customWidth="1"/>
    <col min="1032" max="1032" width="5.85546875" style="51" bestFit="1" customWidth="1"/>
    <col min="1033" max="1033" width="4.85546875" style="51" customWidth="1"/>
    <col min="1034" max="1034" width="21.5703125" style="51" bestFit="1" customWidth="1"/>
    <col min="1035" max="1275" width="9.140625" style="51"/>
    <col min="1276" max="1276" width="9.42578125" style="51" bestFit="1" customWidth="1"/>
    <col min="1277" max="1277" width="21.5703125" style="51" bestFit="1" customWidth="1"/>
    <col min="1278" max="1278" width="6.5703125" style="51" bestFit="1" customWidth="1"/>
    <col min="1279" max="1279" width="6" style="51" bestFit="1" customWidth="1"/>
    <col min="1280" max="1280" width="7" style="51" bestFit="1" customWidth="1"/>
    <col min="1281" max="1281" width="6.28515625" style="51" customWidth="1"/>
    <col min="1282" max="1282" width="6.140625" style="51" customWidth="1"/>
    <col min="1283" max="1283" width="5.7109375" style="51" bestFit="1" customWidth="1"/>
    <col min="1284" max="1285" width="5.85546875" style="51" bestFit="1" customWidth="1"/>
    <col min="1286" max="1286" width="6" style="51" bestFit="1" customWidth="1"/>
    <col min="1287" max="1287" width="5.7109375" style="51" bestFit="1" customWidth="1"/>
    <col min="1288" max="1288" width="5.85546875" style="51" bestFit="1" customWidth="1"/>
    <col min="1289" max="1289" width="4.85546875" style="51" customWidth="1"/>
    <col min="1290" max="1290" width="21.5703125" style="51" bestFit="1" customWidth="1"/>
    <col min="1291" max="1531" width="9.140625" style="51"/>
    <col min="1532" max="1532" width="9.42578125" style="51" bestFit="1" customWidth="1"/>
    <col min="1533" max="1533" width="21.5703125" style="51" bestFit="1" customWidth="1"/>
    <col min="1534" max="1534" width="6.5703125" style="51" bestFit="1" customWidth="1"/>
    <col min="1535" max="1535" width="6" style="51" bestFit="1" customWidth="1"/>
    <col min="1536" max="1536" width="7" style="51" bestFit="1" customWidth="1"/>
    <col min="1537" max="1537" width="6.28515625" style="51" customWidth="1"/>
    <col min="1538" max="1538" width="6.140625" style="51" customWidth="1"/>
    <col min="1539" max="1539" width="5.7109375" style="51" bestFit="1" customWidth="1"/>
    <col min="1540" max="1541" width="5.85546875" style="51" bestFit="1" customWidth="1"/>
    <col min="1542" max="1542" width="6" style="51" bestFit="1" customWidth="1"/>
    <col min="1543" max="1543" width="5.7109375" style="51" bestFit="1" customWidth="1"/>
    <col min="1544" max="1544" width="5.85546875" style="51" bestFit="1" customWidth="1"/>
    <col min="1545" max="1545" width="4.85546875" style="51" customWidth="1"/>
    <col min="1546" max="1546" width="21.5703125" style="51" bestFit="1" customWidth="1"/>
    <col min="1547" max="1787" width="9.140625" style="51"/>
    <col min="1788" max="1788" width="9.42578125" style="51" bestFit="1" customWidth="1"/>
    <col min="1789" max="1789" width="21.5703125" style="51" bestFit="1" customWidth="1"/>
    <col min="1790" max="1790" width="6.5703125" style="51" bestFit="1" customWidth="1"/>
    <col min="1791" max="1791" width="6" style="51" bestFit="1" customWidth="1"/>
    <col min="1792" max="1792" width="7" style="51" bestFit="1" customWidth="1"/>
    <col min="1793" max="1793" width="6.28515625" style="51" customWidth="1"/>
    <col min="1794" max="1794" width="6.140625" style="51" customWidth="1"/>
    <col min="1795" max="1795" width="5.7109375" style="51" bestFit="1" customWidth="1"/>
    <col min="1796" max="1797" width="5.85546875" style="51" bestFit="1" customWidth="1"/>
    <col min="1798" max="1798" width="6" style="51" bestFit="1" customWidth="1"/>
    <col min="1799" max="1799" width="5.7109375" style="51" bestFit="1" customWidth="1"/>
    <col min="1800" max="1800" width="5.85546875" style="51" bestFit="1" customWidth="1"/>
    <col min="1801" max="1801" width="4.85546875" style="51" customWidth="1"/>
    <col min="1802" max="1802" width="21.5703125" style="51" bestFit="1" customWidth="1"/>
    <col min="1803" max="2043" width="11.42578125" style="51"/>
    <col min="2044" max="2044" width="9.42578125" style="51" bestFit="1" customWidth="1"/>
    <col min="2045" max="2045" width="21.5703125" style="51" bestFit="1" customWidth="1"/>
    <col min="2046" max="2046" width="6.5703125" style="51" bestFit="1" customWidth="1"/>
    <col min="2047" max="2047" width="6" style="51" bestFit="1" customWidth="1"/>
    <col min="2048" max="2048" width="7" style="51" bestFit="1" customWidth="1"/>
    <col min="2049" max="2049" width="6.28515625" style="51" customWidth="1"/>
    <col min="2050" max="2050" width="6.140625" style="51" customWidth="1"/>
    <col min="2051" max="2051" width="5.7109375" style="51" bestFit="1" customWidth="1"/>
    <col min="2052" max="2053" width="5.85546875" style="51" bestFit="1" customWidth="1"/>
    <col min="2054" max="2054" width="6" style="51" bestFit="1" customWidth="1"/>
    <col min="2055" max="2055" width="5.7109375" style="51" bestFit="1" customWidth="1"/>
    <col min="2056" max="2056" width="5.85546875" style="51" bestFit="1" customWidth="1"/>
    <col min="2057" max="2057" width="4.85546875" style="51" customWidth="1"/>
    <col min="2058" max="2058" width="21.5703125" style="51" bestFit="1" customWidth="1"/>
    <col min="2059" max="2299" width="9.140625" style="51"/>
    <col min="2300" max="2300" width="9.42578125" style="51" bestFit="1" customWidth="1"/>
    <col min="2301" max="2301" width="21.5703125" style="51" bestFit="1" customWidth="1"/>
    <col min="2302" max="2302" width="6.5703125" style="51" bestFit="1" customWidth="1"/>
    <col min="2303" max="2303" width="6" style="51" bestFit="1" customWidth="1"/>
    <col min="2304" max="2304" width="7" style="51" bestFit="1" customWidth="1"/>
    <col min="2305" max="2305" width="6.28515625" style="51" customWidth="1"/>
    <col min="2306" max="2306" width="6.140625" style="51" customWidth="1"/>
    <col min="2307" max="2307" width="5.7109375" style="51" bestFit="1" customWidth="1"/>
    <col min="2308" max="2309" width="5.85546875" style="51" bestFit="1" customWidth="1"/>
    <col min="2310" max="2310" width="6" style="51" bestFit="1" customWidth="1"/>
    <col min="2311" max="2311" width="5.7109375" style="51" bestFit="1" customWidth="1"/>
    <col min="2312" max="2312" width="5.85546875" style="51" bestFit="1" customWidth="1"/>
    <col min="2313" max="2313" width="4.85546875" style="51" customWidth="1"/>
    <col min="2314" max="2314" width="21.5703125" style="51" bestFit="1" customWidth="1"/>
    <col min="2315" max="2555" width="9.140625" style="51"/>
    <col min="2556" max="2556" width="9.42578125" style="51" bestFit="1" customWidth="1"/>
    <col min="2557" max="2557" width="21.5703125" style="51" bestFit="1" customWidth="1"/>
    <col min="2558" max="2558" width="6.5703125" style="51" bestFit="1" customWidth="1"/>
    <col min="2559" max="2559" width="6" style="51" bestFit="1" customWidth="1"/>
    <col min="2560" max="2560" width="7" style="51" bestFit="1" customWidth="1"/>
    <col min="2561" max="2561" width="6.28515625" style="51" customWidth="1"/>
    <col min="2562" max="2562" width="6.140625" style="51" customWidth="1"/>
    <col min="2563" max="2563" width="5.7109375" style="51" bestFit="1" customWidth="1"/>
    <col min="2564" max="2565" width="5.85546875" style="51" bestFit="1" customWidth="1"/>
    <col min="2566" max="2566" width="6" style="51" bestFit="1" customWidth="1"/>
    <col min="2567" max="2567" width="5.7109375" style="51" bestFit="1" customWidth="1"/>
    <col min="2568" max="2568" width="5.85546875" style="51" bestFit="1" customWidth="1"/>
    <col min="2569" max="2569" width="4.85546875" style="51" customWidth="1"/>
    <col min="2570" max="2570" width="21.5703125" style="51" bestFit="1" customWidth="1"/>
    <col min="2571" max="2811" width="9.140625" style="51"/>
    <col min="2812" max="2812" width="9.42578125" style="51" bestFit="1" customWidth="1"/>
    <col min="2813" max="2813" width="21.5703125" style="51" bestFit="1" customWidth="1"/>
    <col min="2814" max="2814" width="6.5703125" style="51" bestFit="1" customWidth="1"/>
    <col min="2815" max="2815" width="6" style="51" bestFit="1" customWidth="1"/>
    <col min="2816" max="2816" width="7" style="51" bestFit="1" customWidth="1"/>
    <col min="2817" max="2817" width="6.28515625" style="51" customWidth="1"/>
    <col min="2818" max="2818" width="6.140625" style="51" customWidth="1"/>
    <col min="2819" max="2819" width="5.7109375" style="51" bestFit="1" customWidth="1"/>
    <col min="2820" max="2821" width="5.85546875" style="51" bestFit="1" customWidth="1"/>
    <col min="2822" max="2822" width="6" style="51" bestFit="1" customWidth="1"/>
    <col min="2823" max="2823" width="5.7109375" style="51" bestFit="1" customWidth="1"/>
    <col min="2824" max="2824" width="5.85546875" style="51" bestFit="1" customWidth="1"/>
    <col min="2825" max="2825" width="4.85546875" style="51" customWidth="1"/>
    <col min="2826" max="2826" width="21.5703125" style="51" bestFit="1" customWidth="1"/>
    <col min="2827" max="3067" width="11.42578125" style="51"/>
    <col min="3068" max="3068" width="9.42578125" style="51" bestFit="1" customWidth="1"/>
    <col min="3069" max="3069" width="21.5703125" style="51" bestFit="1" customWidth="1"/>
    <col min="3070" max="3070" width="6.5703125" style="51" bestFit="1" customWidth="1"/>
    <col min="3071" max="3071" width="6" style="51" bestFit="1" customWidth="1"/>
    <col min="3072" max="3072" width="7" style="51" bestFit="1" customWidth="1"/>
    <col min="3073" max="3073" width="6.28515625" style="51" customWidth="1"/>
    <col min="3074" max="3074" width="6.140625" style="51" customWidth="1"/>
    <col min="3075" max="3075" width="5.7109375" style="51" bestFit="1" customWidth="1"/>
    <col min="3076" max="3077" width="5.85546875" style="51" bestFit="1" customWidth="1"/>
    <col min="3078" max="3078" width="6" style="51" bestFit="1" customWidth="1"/>
    <col min="3079" max="3079" width="5.7109375" style="51" bestFit="1" customWidth="1"/>
    <col min="3080" max="3080" width="5.85546875" style="51" bestFit="1" customWidth="1"/>
    <col min="3081" max="3081" width="4.85546875" style="51" customWidth="1"/>
    <col min="3082" max="3082" width="21.5703125" style="51" bestFit="1" customWidth="1"/>
    <col min="3083" max="3323" width="9.140625" style="51"/>
    <col min="3324" max="3324" width="9.42578125" style="51" bestFit="1" customWidth="1"/>
    <col min="3325" max="3325" width="21.5703125" style="51" bestFit="1" customWidth="1"/>
    <col min="3326" max="3326" width="6.5703125" style="51" bestFit="1" customWidth="1"/>
    <col min="3327" max="3327" width="6" style="51" bestFit="1" customWidth="1"/>
    <col min="3328" max="3328" width="7" style="51" bestFit="1" customWidth="1"/>
    <col min="3329" max="3329" width="6.28515625" style="51" customWidth="1"/>
    <col min="3330" max="3330" width="6.140625" style="51" customWidth="1"/>
    <col min="3331" max="3331" width="5.7109375" style="51" bestFit="1" customWidth="1"/>
    <col min="3332" max="3333" width="5.85546875" style="51" bestFit="1" customWidth="1"/>
    <col min="3334" max="3334" width="6" style="51" bestFit="1" customWidth="1"/>
    <col min="3335" max="3335" width="5.7109375" style="51" bestFit="1" customWidth="1"/>
    <col min="3336" max="3336" width="5.85546875" style="51" bestFit="1" customWidth="1"/>
    <col min="3337" max="3337" width="4.85546875" style="51" customWidth="1"/>
    <col min="3338" max="3338" width="21.5703125" style="51" bestFit="1" customWidth="1"/>
    <col min="3339" max="3579" width="9.140625" style="51"/>
    <col min="3580" max="3580" width="9.42578125" style="51" bestFit="1" customWidth="1"/>
    <col min="3581" max="3581" width="21.5703125" style="51" bestFit="1" customWidth="1"/>
    <col min="3582" max="3582" width="6.5703125" style="51" bestFit="1" customWidth="1"/>
    <col min="3583" max="3583" width="6" style="51" bestFit="1" customWidth="1"/>
    <col min="3584" max="3584" width="7" style="51" bestFit="1" customWidth="1"/>
    <col min="3585" max="3585" width="6.28515625" style="51" customWidth="1"/>
    <col min="3586" max="3586" width="6.140625" style="51" customWidth="1"/>
    <col min="3587" max="3587" width="5.7109375" style="51" bestFit="1" customWidth="1"/>
    <col min="3588" max="3589" width="5.85546875" style="51" bestFit="1" customWidth="1"/>
    <col min="3590" max="3590" width="6" style="51" bestFit="1" customWidth="1"/>
    <col min="3591" max="3591" width="5.7109375" style="51" bestFit="1" customWidth="1"/>
    <col min="3592" max="3592" width="5.85546875" style="51" bestFit="1" customWidth="1"/>
    <col min="3593" max="3593" width="4.85546875" style="51" customWidth="1"/>
    <col min="3594" max="3594" width="21.5703125" style="51" bestFit="1" customWidth="1"/>
    <col min="3595" max="3835" width="9.140625" style="51"/>
    <col min="3836" max="3836" width="9.42578125" style="51" bestFit="1" customWidth="1"/>
    <col min="3837" max="3837" width="21.5703125" style="51" bestFit="1" customWidth="1"/>
    <col min="3838" max="3838" width="6.5703125" style="51" bestFit="1" customWidth="1"/>
    <col min="3839" max="3839" width="6" style="51" bestFit="1" customWidth="1"/>
    <col min="3840" max="3840" width="7" style="51" bestFit="1" customWidth="1"/>
    <col min="3841" max="3841" width="6.28515625" style="51" customWidth="1"/>
    <col min="3842" max="3842" width="6.140625" style="51" customWidth="1"/>
    <col min="3843" max="3843" width="5.7109375" style="51" bestFit="1" customWidth="1"/>
    <col min="3844" max="3845" width="5.85546875" style="51" bestFit="1" customWidth="1"/>
    <col min="3846" max="3846" width="6" style="51" bestFit="1" customWidth="1"/>
    <col min="3847" max="3847" width="5.7109375" style="51" bestFit="1" customWidth="1"/>
    <col min="3848" max="3848" width="5.85546875" style="51" bestFit="1" customWidth="1"/>
    <col min="3849" max="3849" width="4.85546875" style="51" customWidth="1"/>
    <col min="3850" max="3850" width="21.5703125" style="51" bestFit="1" customWidth="1"/>
    <col min="3851" max="4091" width="11.42578125" style="51"/>
    <col min="4092" max="4092" width="9.42578125" style="51" bestFit="1" customWidth="1"/>
    <col min="4093" max="4093" width="21.5703125" style="51" bestFit="1" customWidth="1"/>
    <col min="4094" max="4094" width="6.5703125" style="51" bestFit="1" customWidth="1"/>
    <col min="4095" max="4095" width="6" style="51" bestFit="1" customWidth="1"/>
    <col min="4096" max="4096" width="7" style="51" bestFit="1" customWidth="1"/>
    <col min="4097" max="4097" width="6.28515625" style="51" customWidth="1"/>
    <col min="4098" max="4098" width="6.140625" style="51" customWidth="1"/>
    <col min="4099" max="4099" width="5.7109375" style="51" bestFit="1" customWidth="1"/>
    <col min="4100" max="4101" width="5.85546875" style="51" bestFit="1" customWidth="1"/>
    <col min="4102" max="4102" width="6" style="51" bestFit="1" customWidth="1"/>
    <col min="4103" max="4103" width="5.7109375" style="51" bestFit="1" customWidth="1"/>
    <col min="4104" max="4104" width="5.85546875" style="51" bestFit="1" customWidth="1"/>
    <col min="4105" max="4105" width="4.85546875" style="51" customWidth="1"/>
    <col min="4106" max="4106" width="21.5703125" style="51" bestFit="1" customWidth="1"/>
    <col min="4107" max="4347" width="9.140625" style="51"/>
    <col min="4348" max="4348" width="9.42578125" style="51" bestFit="1" customWidth="1"/>
    <col min="4349" max="4349" width="21.5703125" style="51" bestFit="1" customWidth="1"/>
    <col min="4350" max="4350" width="6.5703125" style="51" bestFit="1" customWidth="1"/>
    <col min="4351" max="4351" width="6" style="51" bestFit="1" customWidth="1"/>
    <col min="4352" max="4352" width="7" style="51" bestFit="1" customWidth="1"/>
    <col min="4353" max="4353" width="6.28515625" style="51" customWidth="1"/>
    <col min="4354" max="4354" width="6.140625" style="51" customWidth="1"/>
    <col min="4355" max="4355" width="5.7109375" style="51" bestFit="1" customWidth="1"/>
    <col min="4356" max="4357" width="5.85546875" style="51" bestFit="1" customWidth="1"/>
    <col min="4358" max="4358" width="6" style="51" bestFit="1" customWidth="1"/>
    <col min="4359" max="4359" width="5.7109375" style="51" bestFit="1" customWidth="1"/>
    <col min="4360" max="4360" width="5.85546875" style="51" bestFit="1" customWidth="1"/>
    <col min="4361" max="4361" width="4.85546875" style="51" customWidth="1"/>
    <col min="4362" max="4362" width="21.5703125" style="51" bestFit="1" customWidth="1"/>
    <col min="4363" max="4603" width="9.140625" style="51"/>
    <col min="4604" max="4604" width="9.42578125" style="51" bestFit="1" customWidth="1"/>
    <col min="4605" max="4605" width="21.5703125" style="51" bestFit="1" customWidth="1"/>
    <col min="4606" max="4606" width="6.5703125" style="51" bestFit="1" customWidth="1"/>
    <col min="4607" max="4607" width="6" style="51" bestFit="1" customWidth="1"/>
    <col min="4608" max="4608" width="7" style="51" bestFit="1" customWidth="1"/>
    <col min="4609" max="4609" width="6.28515625" style="51" customWidth="1"/>
    <col min="4610" max="4610" width="6.140625" style="51" customWidth="1"/>
    <col min="4611" max="4611" width="5.7109375" style="51" bestFit="1" customWidth="1"/>
    <col min="4612" max="4613" width="5.85546875" style="51" bestFit="1" customWidth="1"/>
    <col min="4614" max="4614" width="6" style="51" bestFit="1" customWidth="1"/>
    <col min="4615" max="4615" width="5.7109375" style="51" bestFit="1" customWidth="1"/>
    <col min="4616" max="4616" width="5.85546875" style="51" bestFit="1" customWidth="1"/>
    <col min="4617" max="4617" width="4.85546875" style="51" customWidth="1"/>
    <col min="4618" max="4618" width="21.5703125" style="51" bestFit="1" customWidth="1"/>
    <col min="4619" max="4859" width="9.140625" style="51"/>
    <col min="4860" max="4860" width="9.42578125" style="51" bestFit="1" customWidth="1"/>
    <col min="4861" max="4861" width="21.5703125" style="51" bestFit="1" customWidth="1"/>
    <col min="4862" max="4862" width="6.5703125" style="51" bestFit="1" customWidth="1"/>
    <col min="4863" max="4863" width="6" style="51" bestFit="1" customWidth="1"/>
    <col min="4864" max="4864" width="7" style="51" bestFit="1" customWidth="1"/>
    <col min="4865" max="4865" width="6.28515625" style="51" customWidth="1"/>
    <col min="4866" max="4866" width="6.140625" style="51" customWidth="1"/>
    <col min="4867" max="4867" width="5.7109375" style="51" bestFit="1" customWidth="1"/>
    <col min="4868" max="4869" width="5.85546875" style="51" bestFit="1" customWidth="1"/>
    <col min="4870" max="4870" width="6" style="51" bestFit="1" customWidth="1"/>
    <col min="4871" max="4871" width="5.7109375" style="51" bestFit="1" customWidth="1"/>
    <col min="4872" max="4872" width="5.85546875" style="51" bestFit="1" customWidth="1"/>
    <col min="4873" max="4873" width="4.85546875" style="51" customWidth="1"/>
    <col min="4874" max="4874" width="21.5703125" style="51" bestFit="1" customWidth="1"/>
    <col min="4875" max="5115" width="11.42578125" style="51"/>
    <col min="5116" max="5116" width="9.42578125" style="51" bestFit="1" customWidth="1"/>
    <col min="5117" max="5117" width="21.5703125" style="51" bestFit="1" customWidth="1"/>
    <col min="5118" max="5118" width="6.5703125" style="51" bestFit="1" customWidth="1"/>
    <col min="5119" max="5119" width="6" style="51" bestFit="1" customWidth="1"/>
    <col min="5120" max="5120" width="7" style="51" bestFit="1" customWidth="1"/>
    <col min="5121" max="5121" width="6.28515625" style="51" customWidth="1"/>
    <col min="5122" max="5122" width="6.140625" style="51" customWidth="1"/>
    <col min="5123" max="5123" width="5.7109375" style="51" bestFit="1" customWidth="1"/>
    <col min="5124" max="5125" width="5.85546875" style="51" bestFit="1" customWidth="1"/>
    <col min="5126" max="5126" width="6" style="51" bestFit="1" customWidth="1"/>
    <col min="5127" max="5127" width="5.7109375" style="51" bestFit="1" customWidth="1"/>
    <col min="5128" max="5128" width="5.85546875" style="51" bestFit="1" customWidth="1"/>
    <col min="5129" max="5129" width="4.85546875" style="51" customWidth="1"/>
    <col min="5130" max="5130" width="21.5703125" style="51" bestFit="1" customWidth="1"/>
    <col min="5131" max="5371" width="9.140625" style="51"/>
    <col min="5372" max="5372" width="9.42578125" style="51" bestFit="1" customWidth="1"/>
    <col min="5373" max="5373" width="21.5703125" style="51" bestFit="1" customWidth="1"/>
    <col min="5374" max="5374" width="6.5703125" style="51" bestFit="1" customWidth="1"/>
    <col min="5375" max="5375" width="6" style="51" bestFit="1" customWidth="1"/>
    <col min="5376" max="5376" width="7" style="51" bestFit="1" customWidth="1"/>
    <col min="5377" max="5377" width="6.28515625" style="51" customWidth="1"/>
    <col min="5378" max="5378" width="6.140625" style="51" customWidth="1"/>
    <col min="5379" max="5379" width="5.7109375" style="51" bestFit="1" customWidth="1"/>
    <col min="5380" max="5381" width="5.85546875" style="51" bestFit="1" customWidth="1"/>
    <col min="5382" max="5382" width="6" style="51" bestFit="1" customWidth="1"/>
    <col min="5383" max="5383" width="5.7109375" style="51" bestFit="1" customWidth="1"/>
    <col min="5384" max="5384" width="5.85546875" style="51" bestFit="1" customWidth="1"/>
    <col min="5385" max="5385" width="4.85546875" style="51" customWidth="1"/>
    <col min="5386" max="5386" width="21.5703125" style="51" bestFit="1" customWidth="1"/>
    <col min="5387" max="5627" width="9.140625" style="51"/>
    <col min="5628" max="5628" width="9.42578125" style="51" bestFit="1" customWidth="1"/>
    <col min="5629" max="5629" width="21.5703125" style="51" bestFit="1" customWidth="1"/>
    <col min="5630" max="5630" width="6.5703125" style="51" bestFit="1" customWidth="1"/>
    <col min="5631" max="5631" width="6" style="51" bestFit="1" customWidth="1"/>
    <col min="5632" max="5632" width="7" style="51" bestFit="1" customWidth="1"/>
    <col min="5633" max="5633" width="6.28515625" style="51" customWidth="1"/>
    <col min="5634" max="5634" width="6.140625" style="51" customWidth="1"/>
    <col min="5635" max="5635" width="5.7109375" style="51" bestFit="1" customWidth="1"/>
    <col min="5636" max="5637" width="5.85546875" style="51" bestFit="1" customWidth="1"/>
    <col min="5638" max="5638" width="6" style="51" bestFit="1" customWidth="1"/>
    <col min="5639" max="5639" width="5.7109375" style="51" bestFit="1" customWidth="1"/>
    <col min="5640" max="5640" width="5.85546875" style="51" bestFit="1" customWidth="1"/>
    <col min="5641" max="5641" width="4.85546875" style="51" customWidth="1"/>
    <col min="5642" max="5642" width="21.5703125" style="51" bestFit="1" customWidth="1"/>
    <col min="5643" max="5883" width="9.140625" style="51"/>
    <col min="5884" max="5884" width="9.42578125" style="51" bestFit="1" customWidth="1"/>
    <col min="5885" max="5885" width="21.5703125" style="51" bestFit="1" customWidth="1"/>
    <col min="5886" max="5886" width="6.5703125" style="51" bestFit="1" customWidth="1"/>
    <col min="5887" max="5887" width="6" style="51" bestFit="1" customWidth="1"/>
    <col min="5888" max="5888" width="7" style="51" bestFit="1" customWidth="1"/>
    <col min="5889" max="5889" width="6.28515625" style="51" customWidth="1"/>
    <col min="5890" max="5890" width="6.140625" style="51" customWidth="1"/>
    <col min="5891" max="5891" width="5.7109375" style="51" bestFit="1" customWidth="1"/>
    <col min="5892" max="5893" width="5.85546875" style="51" bestFit="1" customWidth="1"/>
    <col min="5894" max="5894" width="6" style="51" bestFit="1" customWidth="1"/>
    <col min="5895" max="5895" width="5.7109375" style="51" bestFit="1" customWidth="1"/>
    <col min="5896" max="5896" width="5.85546875" style="51" bestFit="1" customWidth="1"/>
    <col min="5897" max="5897" width="4.85546875" style="51" customWidth="1"/>
    <col min="5898" max="5898" width="21.5703125" style="51" bestFit="1" customWidth="1"/>
    <col min="5899" max="6139" width="11.42578125" style="51"/>
    <col min="6140" max="6140" width="9.42578125" style="51" bestFit="1" customWidth="1"/>
    <col min="6141" max="6141" width="21.5703125" style="51" bestFit="1" customWidth="1"/>
    <col min="6142" max="6142" width="6.5703125" style="51" bestFit="1" customWidth="1"/>
    <col min="6143" max="6143" width="6" style="51" bestFit="1" customWidth="1"/>
    <col min="6144" max="6144" width="7" style="51" bestFit="1" customWidth="1"/>
    <col min="6145" max="6145" width="6.28515625" style="51" customWidth="1"/>
    <col min="6146" max="6146" width="6.140625" style="51" customWidth="1"/>
    <col min="6147" max="6147" width="5.7109375" style="51" bestFit="1" customWidth="1"/>
    <col min="6148" max="6149" width="5.85546875" style="51" bestFit="1" customWidth="1"/>
    <col min="6150" max="6150" width="6" style="51" bestFit="1" customWidth="1"/>
    <col min="6151" max="6151" width="5.7109375" style="51" bestFit="1" customWidth="1"/>
    <col min="6152" max="6152" width="5.85546875" style="51" bestFit="1" customWidth="1"/>
    <col min="6153" max="6153" width="4.85546875" style="51" customWidth="1"/>
    <col min="6154" max="6154" width="21.5703125" style="51" bestFit="1" customWidth="1"/>
    <col min="6155" max="6395" width="9.140625" style="51"/>
    <col min="6396" max="6396" width="9.42578125" style="51" bestFit="1" customWidth="1"/>
    <col min="6397" max="6397" width="21.5703125" style="51" bestFit="1" customWidth="1"/>
    <col min="6398" max="6398" width="6.5703125" style="51" bestFit="1" customWidth="1"/>
    <col min="6399" max="6399" width="6" style="51" bestFit="1" customWidth="1"/>
    <col min="6400" max="6400" width="7" style="51" bestFit="1" customWidth="1"/>
    <col min="6401" max="6401" width="6.28515625" style="51" customWidth="1"/>
    <col min="6402" max="6402" width="6.140625" style="51" customWidth="1"/>
    <col min="6403" max="6403" width="5.7109375" style="51" bestFit="1" customWidth="1"/>
    <col min="6404" max="6405" width="5.85546875" style="51" bestFit="1" customWidth="1"/>
    <col min="6406" max="6406" width="6" style="51" bestFit="1" customWidth="1"/>
    <col min="6407" max="6407" width="5.7109375" style="51" bestFit="1" customWidth="1"/>
    <col min="6408" max="6408" width="5.85546875" style="51" bestFit="1" customWidth="1"/>
    <col min="6409" max="6409" width="4.85546875" style="51" customWidth="1"/>
    <col min="6410" max="6410" width="21.5703125" style="51" bestFit="1" customWidth="1"/>
    <col min="6411" max="6651" width="9.140625" style="51"/>
    <col min="6652" max="6652" width="9.42578125" style="51" bestFit="1" customWidth="1"/>
    <col min="6653" max="6653" width="21.5703125" style="51" bestFit="1" customWidth="1"/>
    <col min="6654" max="6654" width="6.5703125" style="51" bestFit="1" customWidth="1"/>
    <col min="6655" max="6655" width="6" style="51" bestFit="1" customWidth="1"/>
    <col min="6656" max="6656" width="7" style="51" bestFit="1" customWidth="1"/>
    <col min="6657" max="6657" width="6.28515625" style="51" customWidth="1"/>
    <col min="6658" max="6658" width="6.140625" style="51" customWidth="1"/>
    <col min="6659" max="6659" width="5.7109375" style="51" bestFit="1" customWidth="1"/>
    <col min="6660" max="6661" width="5.85546875" style="51" bestFit="1" customWidth="1"/>
    <col min="6662" max="6662" width="6" style="51" bestFit="1" customWidth="1"/>
    <col min="6663" max="6663" width="5.7109375" style="51" bestFit="1" customWidth="1"/>
    <col min="6664" max="6664" width="5.85546875" style="51" bestFit="1" customWidth="1"/>
    <col min="6665" max="6665" width="4.85546875" style="51" customWidth="1"/>
    <col min="6666" max="6666" width="21.5703125" style="51" bestFit="1" customWidth="1"/>
    <col min="6667" max="6907" width="9.140625" style="51"/>
    <col min="6908" max="6908" width="9.42578125" style="51" bestFit="1" customWidth="1"/>
    <col min="6909" max="6909" width="21.5703125" style="51" bestFit="1" customWidth="1"/>
    <col min="6910" max="6910" width="6.5703125" style="51" bestFit="1" customWidth="1"/>
    <col min="6911" max="6911" width="6" style="51" bestFit="1" customWidth="1"/>
    <col min="6912" max="6912" width="7" style="51" bestFit="1" customWidth="1"/>
    <col min="6913" max="6913" width="6.28515625" style="51" customWidth="1"/>
    <col min="6914" max="6914" width="6.140625" style="51" customWidth="1"/>
    <col min="6915" max="6915" width="5.7109375" style="51" bestFit="1" customWidth="1"/>
    <col min="6916" max="6917" width="5.85546875" style="51" bestFit="1" customWidth="1"/>
    <col min="6918" max="6918" width="6" style="51" bestFit="1" customWidth="1"/>
    <col min="6919" max="6919" width="5.7109375" style="51" bestFit="1" customWidth="1"/>
    <col min="6920" max="6920" width="5.85546875" style="51" bestFit="1" customWidth="1"/>
    <col min="6921" max="6921" width="4.85546875" style="51" customWidth="1"/>
    <col min="6922" max="6922" width="21.5703125" style="51" bestFit="1" customWidth="1"/>
    <col min="6923" max="7163" width="11.42578125" style="51"/>
    <col min="7164" max="7164" width="9.42578125" style="51" bestFit="1" customWidth="1"/>
    <col min="7165" max="7165" width="21.5703125" style="51" bestFit="1" customWidth="1"/>
    <col min="7166" max="7166" width="6.5703125" style="51" bestFit="1" customWidth="1"/>
    <col min="7167" max="7167" width="6" style="51" bestFit="1" customWidth="1"/>
    <col min="7168" max="7168" width="7" style="51" bestFit="1" customWidth="1"/>
    <col min="7169" max="7169" width="6.28515625" style="51" customWidth="1"/>
    <col min="7170" max="7170" width="6.140625" style="51" customWidth="1"/>
    <col min="7171" max="7171" width="5.7109375" style="51" bestFit="1" customWidth="1"/>
    <col min="7172" max="7173" width="5.85546875" style="51" bestFit="1" customWidth="1"/>
    <col min="7174" max="7174" width="6" style="51" bestFit="1" customWidth="1"/>
    <col min="7175" max="7175" width="5.7109375" style="51" bestFit="1" customWidth="1"/>
    <col min="7176" max="7176" width="5.85546875" style="51" bestFit="1" customWidth="1"/>
    <col min="7177" max="7177" width="4.85546875" style="51" customWidth="1"/>
    <col min="7178" max="7178" width="21.5703125" style="51" bestFit="1" customWidth="1"/>
    <col min="7179" max="7419" width="9.140625" style="51"/>
    <col min="7420" max="7420" width="9.42578125" style="51" bestFit="1" customWidth="1"/>
    <col min="7421" max="7421" width="21.5703125" style="51" bestFit="1" customWidth="1"/>
    <col min="7422" max="7422" width="6.5703125" style="51" bestFit="1" customWidth="1"/>
    <col min="7423" max="7423" width="6" style="51" bestFit="1" customWidth="1"/>
    <col min="7424" max="7424" width="7" style="51" bestFit="1" customWidth="1"/>
    <col min="7425" max="7425" width="6.28515625" style="51" customWidth="1"/>
    <col min="7426" max="7426" width="6.140625" style="51" customWidth="1"/>
    <col min="7427" max="7427" width="5.7109375" style="51" bestFit="1" customWidth="1"/>
    <col min="7428" max="7429" width="5.85546875" style="51" bestFit="1" customWidth="1"/>
    <col min="7430" max="7430" width="6" style="51" bestFit="1" customWidth="1"/>
    <col min="7431" max="7431" width="5.7109375" style="51" bestFit="1" customWidth="1"/>
    <col min="7432" max="7432" width="5.85546875" style="51" bestFit="1" customWidth="1"/>
    <col min="7433" max="7433" width="4.85546875" style="51" customWidth="1"/>
    <col min="7434" max="7434" width="21.5703125" style="51" bestFit="1" customWidth="1"/>
    <col min="7435" max="7675" width="9.140625" style="51"/>
    <col min="7676" max="7676" width="9.42578125" style="51" bestFit="1" customWidth="1"/>
    <col min="7677" max="7677" width="21.5703125" style="51" bestFit="1" customWidth="1"/>
    <col min="7678" max="7678" width="6.5703125" style="51" bestFit="1" customWidth="1"/>
    <col min="7679" max="7679" width="6" style="51" bestFit="1" customWidth="1"/>
    <col min="7680" max="7680" width="7" style="51" bestFit="1" customWidth="1"/>
    <col min="7681" max="7681" width="6.28515625" style="51" customWidth="1"/>
    <col min="7682" max="7682" width="6.140625" style="51" customWidth="1"/>
    <col min="7683" max="7683" width="5.7109375" style="51" bestFit="1" customWidth="1"/>
    <col min="7684" max="7685" width="5.85546875" style="51" bestFit="1" customWidth="1"/>
    <col min="7686" max="7686" width="6" style="51" bestFit="1" customWidth="1"/>
    <col min="7687" max="7687" width="5.7109375" style="51" bestFit="1" customWidth="1"/>
    <col min="7688" max="7688" width="5.85546875" style="51" bestFit="1" customWidth="1"/>
    <col min="7689" max="7689" width="4.85546875" style="51" customWidth="1"/>
    <col min="7690" max="7690" width="21.5703125" style="51" bestFit="1" customWidth="1"/>
    <col min="7691" max="7931" width="9.140625" style="51"/>
    <col min="7932" max="7932" width="9.42578125" style="51" bestFit="1" customWidth="1"/>
    <col min="7933" max="7933" width="21.5703125" style="51" bestFit="1" customWidth="1"/>
    <col min="7934" max="7934" width="6.5703125" style="51" bestFit="1" customWidth="1"/>
    <col min="7935" max="7935" width="6" style="51" bestFit="1" customWidth="1"/>
    <col min="7936" max="7936" width="7" style="51" bestFit="1" customWidth="1"/>
    <col min="7937" max="7937" width="6.28515625" style="51" customWidth="1"/>
    <col min="7938" max="7938" width="6.140625" style="51" customWidth="1"/>
    <col min="7939" max="7939" width="5.7109375" style="51" bestFit="1" customWidth="1"/>
    <col min="7940" max="7941" width="5.85546875" style="51" bestFit="1" customWidth="1"/>
    <col min="7942" max="7942" width="6" style="51" bestFit="1" customWidth="1"/>
    <col min="7943" max="7943" width="5.7109375" style="51" bestFit="1" customWidth="1"/>
    <col min="7944" max="7944" width="5.85546875" style="51" bestFit="1" customWidth="1"/>
    <col min="7945" max="7945" width="4.85546875" style="51" customWidth="1"/>
    <col min="7946" max="7946" width="21.5703125" style="51" bestFit="1" customWidth="1"/>
    <col min="7947" max="8187" width="11.42578125" style="51"/>
    <col min="8188" max="8188" width="9.42578125" style="51" bestFit="1" customWidth="1"/>
    <col min="8189" max="8189" width="21.5703125" style="51" bestFit="1" customWidth="1"/>
    <col min="8190" max="8190" width="6.5703125" style="51" bestFit="1" customWidth="1"/>
    <col min="8191" max="8191" width="6" style="51" bestFit="1" customWidth="1"/>
    <col min="8192" max="8192" width="7" style="51" bestFit="1" customWidth="1"/>
    <col min="8193" max="8193" width="6.28515625" style="51" customWidth="1"/>
    <col min="8194" max="8194" width="6.140625" style="51" customWidth="1"/>
    <col min="8195" max="8195" width="5.7109375" style="51" bestFit="1" customWidth="1"/>
    <col min="8196" max="8197" width="5.85546875" style="51" bestFit="1" customWidth="1"/>
    <col min="8198" max="8198" width="6" style="51" bestFit="1" customWidth="1"/>
    <col min="8199" max="8199" width="5.7109375" style="51" bestFit="1" customWidth="1"/>
    <col min="8200" max="8200" width="5.85546875" style="51" bestFit="1" customWidth="1"/>
    <col min="8201" max="8201" width="4.85546875" style="51" customWidth="1"/>
    <col min="8202" max="8202" width="21.5703125" style="51" bestFit="1" customWidth="1"/>
    <col min="8203" max="8443" width="9.140625" style="51"/>
    <col min="8444" max="8444" width="9.42578125" style="51" bestFit="1" customWidth="1"/>
    <col min="8445" max="8445" width="21.5703125" style="51" bestFit="1" customWidth="1"/>
    <col min="8446" max="8446" width="6.5703125" style="51" bestFit="1" customWidth="1"/>
    <col min="8447" max="8447" width="6" style="51" bestFit="1" customWidth="1"/>
    <col min="8448" max="8448" width="7" style="51" bestFit="1" customWidth="1"/>
    <col min="8449" max="8449" width="6.28515625" style="51" customWidth="1"/>
    <col min="8450" max="8450" width="6.140625" style="51" customWidth="1"/>
    <col min="8451" max="8451" width="5.7109375" style="51" bestFit="1" customWidth="1"/>
    <col min="8452" max="8453" width="5.85546875" style="51" bestFit="1" customWidth="1"/>
    <col min="8454" max="8454" width="6" style="51" bestFit="1" customWidth="1"/>
    <col min="8455" max="8455" width="5.7109375" style="51" bestFit="1" customWidth="1"/>
    <col min="8456" max="8456" width="5.85546875" style="51" bestFit="1" customWidth="1"/>
    <col min="8457" max="8457" width="4.85546875" style="51" customWidth="1"/>
    <col min="8458" max="8458" width="21.5703125" style="51" bestFit="1" customWidth="1"/>
    <col min="8459" max="8699" width="9.140625" style="51"/>
    <col min="8700" max="8700" width="9.42578125" style="51" bestFit="1" customWidth="1"/>
    <col min="8701" max="8701" width="21.5703125" style="51" bestFit="1" customWidth="1"/>
    <col min="8702" max="8702" width="6.5703125" style="51" bestFit="1" customWidth="1"/>
    <col min="8703" max="8703" width="6" style="51" bestFit="1" customWidth="1"/>
    <col min="8704" max="8704" width="7" style="51" bestFit="1" customWidth="1"/>
    <col min="8705" max="8705" width="6.28515625" style="51" customWidth="1"/>
    <col min="8706" max="8706" width="6.140625" style="51" customWidth="1"/>
    <col min="8707" max="8707" width="5.7109375" style="51" bestFit="1" customWidth="1"/>
    <col min="8708" max="8709" width="5.85546875" style="51" bestFit="1" customWidth="1"/>
    <col min="8710" max="8710" width="6" style="51" bestFit="1" customWidth="1"/>
    <col min="8711" max="8711" width="5.7109375" style="51" bestFit="1" customWidth="1"/>
    <col min="8712" max="8712" width="5.85546875" style="51" bestFit="1" customWidth="1"/>
    <col min="8713" max="8713" width="4.85546875" style="51" customWidth="1"/>
    <col min="8714" max="8714" width="21.5703125" style="51" bestFit="1" customWidth="1"/>
    <col min="8715" max="8955" width="9.140625" style="51"/>
    <col min="8956" max="8956" width="9.42578125" style="51" bestFit="1" customWidth="1"/>
    <col min="8957" max="8957" width="21.5703125" style="51" bestFit="1" customWidth="1"/>
    <col min="8958" max="8958" width="6.5703125" style="51" bestFit="1" customWidth="1"/>
    <col min="8959" max="8959" width="6" style="51" bestFit="1" customWidth="1"/>
    <col min="8960" max="8960" width="7" style="51" bestFit="1" customWidth="1"/>
    <col min="8961" max="8961" width="6.28515625" style="51" customWidth="1"/>
    <col min="8962" max="8962" width="6.140625" style="51" customWidth="1"/>
    <col min="8963" max="8963" width="5.7109375" style="51" bestFit="1" customWidth="1"/>
    <col min="8964" max="8965" width="5.85546875" style="51" bestFit="1" customWidth="1"/>
    <col min="8966" max="8966" width="6" style="51" bestFit="1" customWidth="1"/>
    <col min="8967" max="8967" width="5.7109375" style="51" bestFit="1" customWidth="1"/>
    <col min="8968" max="8968" width="5.85546875" style="51" bestFit="1" customWidth="1"/>
    <col min="8969" max="8969" width="4.85546875" style="51" customWidth="1"/>
    <col min="8970" max="8970" width="21.5703125" style="51" bestFit="1" customWidth="1"/>
    <col min="8971" max="9211" width="11.42578125" style="51"/>
    <col min="9212" max="9212" width="9.42578125" style="51" bestFit="1" customWidth="1"/>
    <col min="9213" max="9213" width="21.5703125" style="51" bestFit="1" customWidth="1"/>
    <col min="9214" max="9214" width="6.5703125" style="51" bestFit="1" customWidth="1"/>
    <col min="9215" max="9215" width="6" style="51" bestFit="1" customWidth="1"/>
    <col min="9216" max="9216" width="7" style="51" bestFit="1" customWidth="1"/>
    <col min="9217" max="9217" width="6.28515625" style="51" customWidth="1"/>
    <col min="9218" max="9218" width="6.140625" style="51" customWidth="1"/>
    <col min="9219" max="9219" width="5.7109375" style="51" bestFit="1" customWidth="1"/>
    <col min="9220" max="9221" width="5.85546875" style="51" bestFit="1" customWidth="1"/>
    <col min="9222" max="9222" width="6" style="51" bestFit="1" customWidth="1"/>
    <col min="9223" max="9223" width="5.7109375" style="51" bestFit="1" customWidth="1"/>
    <col min="9224" max="9224" width="5.85546875" style="51" bestFit="1" customWidth="1"/>
    <col min="9225" max="9225" width="4.85546875" style="51" customWidth="1"/>
    <col min="9226" max="9226" width="21.5703125" style="51" bestFit="1" customWidth="1"/>
    <col min="9227" max="9467" width="9.140625" style="51"/>
    <col min="9468" max="9468" width="9.42578125" style="51" bestFit="1" customWidth="1"/>
    <col min="9469" max="9469" width="21.5703125" style="51" bestFit="1" customWidth="1"/>
    <col min="9470" max="9470" width="6.5703125" style="51" bestFit="1" customWidth="1"/>
    <col min="9471" max="9471" width="6" style="51" bestFit="1" customWidth="1"/>
    <col min="9472" max="9472" width="7" style="51" bestFit="1" customWidth="1"/>
    <col min="9473" max="9473" width="6.28515625" style="51" customWidth="1"/>
    <col min="9474" max="9474" width="6.140625" style="51" customWidth="1"/>
    <col min="9475" max="9475" width="5.7109375" style="51" bestFit="1" customWidth="1"/>
    <col min="9476" max="9477" width="5.85546875" style="51" bestFit="1" customWidth="1"/>
    <col min="9478" max="9478" width="6" style="51" bestFit="1" customWidth="1"/>
    <col min="9479" max="9479" width="5.7109375" style="51" bestFit="1" customWidth="1"/>
    <col min="9480" max="9480" width="5.85546875" style="51" bestFit="1" customWidth="1"/>
    <col min="9481" max="9481" width="4.85546875" style="51" customWidth="1"/>
    <col min="9482" max="9482" width="21.5703125" style="51" bestFit="1" customWidth="1"/>
    <col min="9483" max="9723" width="9.140625" style="51"/>
    <col min="9724" max="9724" width="9.42578125" style="51" bestFit="1" customWidth="1"/>
    <col min="9725" max="9725" width="21.5703125" style="51" bestFit="1" customWidth="1"/>
    <col min="9726" max="9726" width="6.5703125" style="51" bestFit="1" customWidth="1"/>
    <col min="9727" max="9727" width="6" style="51" bestFit="1" customWidth="1"/>
    <col min="9728" max="9728" width="7" style="51" bestFit="1" customWidth="1"/>
    <col min="9729" max="9729" width="6.28515625" style="51" customWidth="1"/>
    <col min="9730" max="9730" width="6.140625" style="51" customWidth="1"/>
    <col min="9731" max="9731" width="5.7109375" style="51" bestFit="1" customWidth="1"/>
    <col min="9732" max="9733" width="5.85546875" style="51" bestFit="1" customWidth="1"/>
    <col min="9734" max="9734" width="6" style="51" bestFit="1" customWidth="1"/>
    <col min="9735" max="9735" width="5.7109375" style="51" bestFit="1" customWidth="1"/>
    <col min="9736" max="9736" width="5.85546875" style="51" bestFit="1" customWidth="1"/>
    <col min="9737" max="9737" width="4.85546875" style="51" customWidth="1"/>
    <col min="9738" max="9738" width="21.5703125" style="51" bestFit="1" customWidth="1"/>
    <col min="9739" max="9979" width="9.140625" style="51"/>
    <col min="9980" max="9980" width="9.42578125" style="51" bestFit="1" customWidth="1"/>
    <col min="9981" max="9981" width="21.5703125" style="51" bestFit="1" customWidth="1"/>
    <col min="9982" max="9982" width="6.5703125" style="51" bestFit="1" customWidth="1"/>
    <col min="9983" max="9983" width="6" style="51" bestFit="1" customWidth="1"/>
    <col min="9984" max="9984" width="7" style="51" bestFit="1" customWidth="1"/>
    <col min="9985" max="9985" width="6.28515625" style="51" customWidth="1"/>
    <col min="9986" max="9986" width="6.140625" style="51" customWidth="1"/>
    <col min="9987" max="9987" width="5.7109375" style="51" bestFit="1" customWidth="1"/>
    <col min="9988" max="9989" width="5.85546875" style="51" bestFit="1" customWidth="1"/>
    <col min="9990" max="9990" width="6" style="51" bestFit="1" customWidth="1"/>
    <col min="9991" max="9991" width="5.7109375" style="51" bestFit="1" customWidth="1"/>
    <col min="9992" max="9992" width="5.85546875" style="51" bestFit="1" customWidth="1"/>
    <col min="9993" max="9993" width="4.85546875" style="51" customWidth="1"/>
    <col min="9994" max="9994" width="21.5703125" style="51" bestFit="1" customWidth="1"/>
    <col min="9995" max="10235" width="11.42578125" style="51"/>
    <col min="10236" max="10236" width="9.42578125" style="51" bestFit="1" customWidth="1"/>
    <col min="10237" max="10237" width="21.5703125" style="51" bestFit="1" customWidth="1"/>
    <col min="10238" max="10238" width="6.5703125" style="51" bestFit="1" customWidth="1"/>
    <col min="10239" max="10239" width="6" style="51" bestFit="1" customWidth="1"/>
    <col min="10240" max="10240" width="7" style="51" bestFit="1" customWidth="1"/>
    <col min="10241" max="10241" width="6.28515625" style="51" customWidth="1"/>
    <col min="10242" max="10242" width="6.140625" style="51" customWidth="1"/>
    <col min="10243" max="10243" width="5.7109375" style="51" bestFit="1" customWidth="1"/>
    <col min="10244" max="10245" width="5.85546875" style="51" bestFit="1" customWidth="1"/>
    <col min="10246" max="10246" width="6" style="51" bestFit="1" customWidth="1"/>
    <col min="10247" max="10247" width="5.7109375" style="51" bestFit="1" customWidth="1"/>
    <col min="10248" max="10248" width="5.85546875" style="51" bestFit="1" customWidth="1"/>
    <col min="10249" max="10249" width="4.85546875" style="51" customWidth="1"/>
    <col min="10250" max="10250" width="21.5703125" style="51" bestFit="1" customWidth="1"/>
    <col min="10251" max="10491" width="9.140625" style="51"/>
    <col min="10492" max="10492" width="9.42578125" style="51" bestFit="1" customWidth="1"/>
    <col min="10493" max="10493" width="21.5703125" style="51" bestFit="1" customWidth="1"/>
    <col min="10494" max="10494" width="6.5703125" style="51" bestFit="1" customWidth="1"/>
    <col min="10495" max="10495" width="6" style="51" bestFit="1" customWidth="1"/>
    <col min="10496" max="10496" width="7" style="51" bestFit="1" customWidth="1"/>
    <col min="10497" max="10497" width="6.28515625" style="51" customWidth="1"/>
    <col min="10498" max="10498" width="6.140625" style="51" customWidth="1"/>
    <col min="10499" max="10499" width="5.7109375" style="51" bestFit="1" customWidth="1"/>
    <col min="10500" max="10501" width="5.85546875" style="51" bestFit="1" customWidth="1"/>
    <col min="10502" max="10502" width="6" style="51" bestFit="1" customWidth="1"/>
    <col min="10503" max="10503" width="5.7109375" style="51" bestFit="1" customWidth="1"/>
    <col min="10504" max="10504" width="5.85546875" style="51" bestFit="1" customWidth="1"/>
    <col min="10505" max="10505" width="4.85546875" style="51" customWidth="1"/>
    <col min="10506" max="10506" width="21.5703125" style="51" bestFit="1" customWidth="1"/>
    <col min="10507" max="10747" width="9.140625" style="51"/>
    <col min="10748" max="10748" width="9.42578125" style="51" bestFit="1" customWidth="1"/>
    <col min="10749" max="10749" width="21.5703125" style="51" bestFit="1" customWidth="1"/>
    <col min="10750" max="10750" width="6.5703125" style="51" bestFit="1" customWidth="1"/>
    <col min="10751" max="10751" width="6" style="51" bestFit="1" customWidth="1"/>
    <col min="10752" max="10752" width="7" style="51" bestFit="1" customWidth="1"/>
    <col min="10753" max="10753" width="6.28515625" style="51" customWidth="1"/>
    <col min="10754" max="10754" width="6.140625" style="51" customWidth="1"/>
    <col min="10755" max="10755" width="5.7109375" style="51" bestFit="1" customWidth="1"/>
    <col min="10756" max="10757" width="5.85546875" style="51" bestFit="1" customWidth="1"/>
    <col min="10758" max="10758" width="6" style="51" bestFit="1" customWidth="1"/>
    <col min="10759" max="10759" width="5.7109375" style="51" bestFit="1" customWidth="1"/>
    <col min="10760" max="10760" width="5.85546875" style="51" bestFit="1" customWidth="1"/>
    <col min="10761" max="10761" width="4.85546875" style="51" customWidth="1"/>
    <col min="10762" max="10762" width="21.5703125" style="51" bestFit="1" customWidth="1"/>
    <col min="10763" max="11003" width="9.140625" style="51"/>
    <col min="11004" max="11004" width="9.42578125" style="51" bestFit="1" customWidth="1"/>
    <col min="11005" max="11005" width="21.5703125" style="51" bestFit="1" customWidth="1"/>
    <col min="11006" max="11006" width="6.5703125" style="51" bestFit="1" customWidth="1"/>
    <col min="11007" max="11007" width="6" style="51" bestFit="1" customWidth="1"/>
    <col min="11008" max="11008" width="7" style="51" bestFit="1" customWidth="1"/>
    <col min="11009" max="11009" width="6.28515625" style="51" customWidth="1"/>
    <col min="11010" max="11010" width="6.140625" style="51" customWidth="1"/>
    <col min="11011" max="11011" width="5.7109375" style="51" bestFit="1" customWidth="1"/>
    <col min="11012" max="11013" width="5.85546875" style="51" bestFit="1" customWidth="1"/>
    <col min="11014" max="11014" width="6" style="51" bestFit="1" customWidth="1"/>
    <col min="11015" max="11015" width="5.7109375" style="51" bestFit="1" customWidth="1"/>
    <col min="11016" max="11016" width="5.85546875" style="51" bestFit="1" customWidth="1"/>
    <col min="11017" max="11017" width="4.85546875" style="51" customWidth="1"/>
    <col min="11018" max="11018" width="21.5703125" style="51" bestFit="1" customWidth="1"/>
    <col min="11019" max="11259" width="11.42578125" style="51"/>
    <col min="11260" max="11260" width="9.42578125" style="51" bestFit="1" customWidth="1"/>
    <col min="11261" max="11261" width="21.5703125" style="51" bestFit="1" customWidth="1"/>
    <col min="11262" max="11262" width="6.5703125" style="51" bestFit="1" customWidth="1"/>
    <col min="11263" max="11263" width="6" style="51" bestFit="1" customWidth="1"/>
    <col min="11264" max="11264" width="7" style="51" bestFit="1" customWidth="1"/>
    <col min="11265" max="11265" width="6.28515625" style="51" customWidth="1"/>
    <col min="11266" max="11266" width="6.140625" style="51" customWidth="1"/>
    <col min="11267" max="11267" width="5.7109375" style="51" bestFit="1" customWidth="1"/>
    <col min="11268" max="11269" width="5.85546875" style="51" bestFit="1" customWidth="1"/>
    <col min="11270" max="11270" width="6" style="51" bestFit="1" customWidth="1"/>
    <col min="11271" max="11271" width="5.7109375" style="51" bestFit="1" customWidth="1"/>
    <col min="11272" max="11272" width="5.85546875" style="51" bestFit="1" customWidth="1"/>
    <col min="11273" max="11273" width="4.85546875" style="51" customWidth="1"/>
    <col min="11274" max="11274" width="21.5703125" style="51" bestFit="1" customWidth="1"/>
    <col min="11275" max="11515" width="9.140625" style="51"/>
    <col min="11516" max="11516" width="9.42578125" style="51" bestFit="1" customWidth="1"/>
    <col min="11517" max="11517" width="21.5703125" style="51" bestFit="1" customWidth="1"/>
    <col min="11518" max="11518" width="6.5703125" style="51" bestFit="1" customWidth="1"/>
    <col min="11519" max="11519" width="6" style="51" bestFit="1" customWidth="1"/>
    <col min="11520" max="11520" width="7" style="51" bestFit="1" customWidth="1"/>
    <col min="11521" max="11521" width="6.28515625" style="51" customWidth="1"/>
    <col min="11522" max="11522" width="6.140625" style="51" customWidth="1"/>
    <col min="11523" max="11523" width="5.7109375" style="51" bestFit="1" customWidth="1"/>
    <col min="11524" max="11525" width="5.85546875" style="51" bestFit="1" customWidth="1"/>
    <col min="11526" max="11526" width="6" style="51" bestFit="1" customWidth="1"/>
    <col min="11527" max="11527" width="5.7109375" style="51" bestFit="1" customWidth="1"/>
    <col min="11528" max="11528" width="5.85546875" style="51" bestFit="1" customWidth="1"/>
    <col min="11529" max="11529" width="4.85546875" style="51" customWidth="1"/>
    <col min="11530" max="11530" width="21.5703125" style="51" bestFit="1" customWidth="1"/>
    <col min="11531" max="11771" width="9.140625" style="51"/>
    <col min="11772" max="11772" width="9.42578125" style="51" bestFit="1" customWidth="1"/>
    <col min="11773" max="11773" width="21.5703125" style="51" bestFit="1" customWidth="1"/>
    <col min="11774" max="11774" width="6.5703125" style="51" bestFit="1" customWidth="1"/>
    <col min="11775" max="11775" width="6" style="51" bestFit="1" customWidth="1"/>
    <col min="11776" max="11776" width="7" style="51" bestFit="1" customWidth="1"/>
    <col min="11777" max="11777" width="6.28515625" style="51" customWidth="1"/>
    <col min="11778" max="11778" width="6.140625" style="51" customWidth="1"/>
    <col min="11779" max="11779" width="5.7109375" style="51" bestFit="1" customWidth="1"/>
    <col min="11780" max="11781" width="5.85546875" style="51" bestFit="1" customWidth="1"/>
    <col min="11782" max="11782" width="6" style="51" bestFit="1" customWidth="1"/>
    <col min="11783" max="11783" width="5.7109375" style="51" bestFit="1" customWidth="1"/>
    <col min="11784" max="11784" width="5.85546875" style="51" bestFit="1" customWidth="1"/>
    <col min="11785" max="11785" width="4.85546875" style="51" customWidth="1"/>
    <col min="11786" max="11786" width="21.5703125" style="51" bestFit="1" customWidth="1"/>
    <col min="11787" max="12027" width="9.140625" style="51"/>
    <col min="12028" max="12028" width="9.42578125" style="51" bestFit="1" customWidth="1"/>
    <col min="12029" max="12029" width="21.5703125" style="51" bestFit="1" customWidth="1"/>
    <col min="12030" max="12030" width="6.5703125" style="51" bestFit="1" customWidth="1"/>
    <col min="12031" max="12031" width="6" style="51" bestFit="1" customWidth="1"/>
    <col min="12032" max="12032" width="7" style="51" bestFit="1" customWidth="1"/>
    <col min="12033" max="12033" width="6.28515625" style="51" customWidth="1"/>
    <col min="12034" max="12034" width="6.140625" style="51" customWidth="1"/>
    <col min="12035" max="12035" width="5.7109375" style="51" bestFit="1" customWidth="1"/>
    <col min="12036" max="12037" width="5.85546875" style="51" bestFit="1" customWidth="1"/>
    <col min="12038" max="12038" width="6" style="51" bestFit="1" customWidth="1"/>
    <col min="12039" max="12039" width="5.7109375" style="51" bestFit="1" customWidth="1"/>
    <col min="12040" max="12040" width="5.85546875" style="51" bestFit="1" customWidth="1"/>
    <col min="12041" max="12041" width="4.85546875" style="51" customWidth="1"/>
    <col min="12042" max="12042" width="21.5703125" style="51" bestFit="1" customWidth="1"/>
    <col min="12043" max="12283" width="11.42578125" style="51"/>
    <col min="12284" max="12284" width="9.42578125" style="51" bestFit="1" customWidth="1"/>
    <col min="12285" max="12285" width="21.5703125" style="51" bestFit="1" customWidth="1"/>
    <col min="12286" max="12286" width="6.5703125" style="51" bestFit="1" customWidth="1"/>
    <col min="12287" max="12287" width="6" style="51" bestFit="1" customWidth="1"/>
    <col min="12288" max="12288" width="7" style="51" bestFit="1" customWidth="1"/>
    <col min="12289" max="12289" width="6.28515625" style="51" customWidth="1"/>
    <col min="12290" max="12290" width="6.140625" style="51" customWidth="1"/>
    <col min="12291" max="12291" width="5.7109375" style="51" bestFit="1" customWidth="1"/>
    <col min="12292" max="12293" width="5.85546875" style="51" bestFit="1" customWidth="1"/>
    <col min="12294" max="12294" width="6" style="51" bestFit="1" customWidth="1"/>
    <col min="12295" max="12295" width="5.7109375" style="51" bestFit="1" customWidth="1"/>
    <col min="12296" max="12296" width="5.85546875" style="51" bestFit="1" customWidth="1"/>
    <col min="12297" max="12297" width="4.85546875" style="51" customWidth="1"/>
    <col min="12298" max="12298" width="21.5703125" style="51" bestFit="1" customWidth="1"/>
    <col min="12299" max="12539" width="9.140625" style="51"/>
    <col min="12540" max="12540" width="9.42578125" style="51" bestFit="1" customWidth="1"/>
    <col min="12541" max="12541" width="21.5703125" style="51" bestFit="1" customWidth="1"/>
    <col min="12542" max="12542" width="6.5703125" style="51" bestFit="1" customWidth="1"/>
    <col min="12543" max="12543" width="6" style="51" bestFit="1" customWidth="1"/>
    <col min="12544" max="12544" width="7" style="51" bestFit="1" customWidth="1"/>
    <col min="12545" max="12545" width="6.28515625" style="51" customWidth="1"/>
    <col min="12546" max="12546" width="6.140625" style="51" customWidth="1"/>
    <col min="12547" max="12547" width="5.7109375" style="51" bestFit="1" customWidth="1"/>
    <col min="12548" max="12549" width="5.85546875" style="51" bestFit="1" customWidth="1"/>
    <col min="12550" max="12550" width="6" style="51" bestFit="1" customWidth="1"/>
    <col min="12551" max="12551" width="5.7109375" style="51" bestFit="1" customWidth="1"/>
    <col min="12552" max="12552" width="5.85546875" style="51" bestFit="1" customWidth="1"/>
    <col min="12553" max="12553" width="4.85546875" style="51" customWidth="1"/>
    <col min="12554" max="12554" width="21.5703125" style="51" bestFit="1" customWidth="1"/>
    <col min="12555" max="12795" width="9.140625" style="51"/>
    <col min="12796" max="12796" width="9.42578125" style="51" bestFit="1" customWidth="1"/>
    <col min="12797" max="12797" width="21.5703125" style="51" bestFit="1" customWidth="1"/>
    <col min="12798" max="12798" width="6.5703125" style="51" bestFit="1" customWidth="1"/>
    <col min="12799" max="12799" width="6" style="51" bestFit="1" customWidth="1"/>
    <col min="12800" max="12800" width="7" style="51" bestFit="1" customWidth="1"/>
    <col min="12801" max="12801" width="6.28515625" style="51" customWidth="1"/>
    <col min="12802" max="12802" width="6.140625" style="51" customWidth="1"/>
    <col min="12803" max="12803" width="5.7109375" style="51" bestFit="1" customWidth="1"/>
    <col min="12804" max="12805" width="5.85546875" style="51" bestFit="1" customWidth="1"/>
    <col min="12806" max="12806" width="6" style="51" bestFit="1" customWidth="1"/>
    <col min="12807" max="12807" width="5.7109375" style="51" bestFit="1" customWidth="1"/>
    <col min="12808" max="12808" width="5.85546875" style="51" bestFit="1" customWidth="1"/>
    <col min="12809" max="12809" width="4.85546875" style="51" customWidth="1"/>
    <col min="12810" max="12810" width="21.5703125" style="51" bestFit="1" customWidth="1"/>
    <col min="12811" max="13051" width="9.140625" style="51"/>
    <col min="13052" max="13052" width="9.42578125" style="51" bestFit="1" customWidth="1"/>
    <col min="13053" max="13053" width="21.5703125" style="51" bestFit="1" customWidth="1"/>
    <col min="13054" max="13054" width="6.5703125" style="51" bestFit="1" customWidth="1"/>
    <col min="13055" max="13055" width="6" style="51" bestFit="1" customWidth="1"/>
    <col min="13056" max="13056" width="7" style="51" bestFit="1" customWidth="1"/>
    <col min="13057" max="13057" width="6.28515625" style="51" customWidth="1"/>
    <col min="13058" max="13058" width="6.140625" style="51" customWidth="1"/>
    <col min="13059" max="13059" width="5.7109375" style="51" bestFit="1" customWidth="1"/>
    <col min="13060" max="13061" width="5.85546875" style="51" bestFit="1" customWidth="1"/>
    <col min="13062" max="13062" width="6" style="51" bestFit="1" customWidth="1"/>
    <col min="13063" max="13063" width="5.7109375" style="51" bestFit="1" customWidth="1"/>
    <col min="13064" max="13064" width="5.85546875" style="51" bestFit="1" customWidth="1"/>
    <col min="13065" max="13065" width="4.85546875" style="51" customWidth="1"/>
    <col min="13066" max="13066" width="21.5703125" style="51" bestFit="1" customWidth="1"/>
    <col min="13067" max="13307" width="11.42578125" style="51"/>
    <col min="13308" max="13308" width="9.42578125" style="51" bestFit="1" customWidth="1"/>
    <col min="13309" max="13309" width="21.5703125" style="51" bestFit="1" customWidth="1"/>
    <col min="13310" max="13310" width="6.5703125" style="51" bestFit="1" customWidth="1"/>
    <col min="13311" max="13311" width="6" style="51" bestFit="1" customWidth="1"/>
    <col min="13312" max="13312" width="7" style="51" bestFit="1" customWidth="1"/>
    <col min="13313" max="13313" width="6.28515625" style="51" customWidth="1"/>
    <col min="13314" max="13314" width="6.140625" style="51" customWidth="1"/>
    <col min="13315" max="13315" width="5.7109375" style="51" bestFit="1" customWidth="1"/>
    <col min="13316" max="13317" width="5.85546875" style="51" bestFit="1" customWidth="1"/>
    <col min="13318" max="13318" width="6" style="51" bestFit="1" customWidth="1"/>
    <col min="13319" max="13319" width="5.7109375" style="51" bestFit="1" customWidth="1"/>
    <col min="13320" max="13320" width="5.85546875" style="51" bestFit="1" customWidth="1"/>
    <col min="13321" max="13321" width="4.85546875" style="51" customWidth="1"/>
    <col min="13322" max="13322" width="21.5703125" style="51" bestFit="1" customWidth="1"/>
    <col min="13323" max="13563" width="9.140625" style="51"/>
    <col min="13564" max="13564" width="9.42578125" style="51" bestFit="1" customWidth="1"/>
    <col min="13565" max="13565" width="21.5703125" style="51" bestFit="1" customWidth="1"/>
    <col min="13566" max="13566" width="6.5703125" style="51" bestFit="1" customWidth="1"/>
    <col min="13567" max="13567" width="6" style="51" bestFit="1" customWidth="1"/>
    <col min="13568" max="13568" width="7" style="51" bestFit="1" customWidth="1"/>
    <col min="13569" max="13569" width="6.28515625" style="51" customWidth="1"/>
    <col min="13570" max="13570" width="6.140625" style="51" customWidth="1"/>
    <col min="13571" max="13571" width="5.7109375" style="51" bestFit="1" customWidth="1"/>
    <col min="13572" max="13573" width="5.85546875" style="51" bestFit="1" customWidth="1"/>
    <col min="13574" max="13574" width="6" style="51" bestFit="1" customWidth="1"/>
    <col min="13575" max="13575" width="5.7109375" style="51" bestFit="1" customWidth="1"/>
    <col min="13576" max="13576" width="5.85546875" style="51" bestFit="1" customWidth="1"/>
    <col min="13577" max="13577" width="4.85546875" style="51" customWidth="1"/>
    <col min="13578" max="13578" width="21.5703125" style="51" bestFit="1" customWidth="1"/>
    <col min="13579" max="13819" width="9.140625" style="51"/>
    <col min="13820" max="13820" width="9.42578125" style="51" bestFit="1" customWidth="1"/>
    <col min="13821" max="13821" width="21.5703125" style="51" bestFit="1" customWidth="1"/>
    <col min="13822" max="13822" width="6.5703125" style="51" bestFit="1" customWidth="1"/>
    <col min="13823" max="13823" width="6" style="51" bestFit="1" customWidth="1"/>
    <col min="13824" max="13824" width="7" style="51" bestFit="1" customWidth="1"/>
    <col min="13825" max="13825" width="6.28515625" style="51" customWidth="1"/>
    <col min="13826" max="13826" width="6.140625" style="51" customWidth="1"/>
    <col min="13827" max="13827" width="5.7109375" style="51" bestFit="1" customWidth="1"/>
    <col min="13828" max="13829" width="5.85546875" style="51" bestFit="1" customWidth="1"/>
    <col min="13830" max="13830" width="6" style="51" bestFit="1" customWidth="1"/>
    <col min="13831" max="13831" width="5.7109375" style="51" bestFit="1" customWidth="1"/>
    <col min="13832" max="13832" width="5.85546875" style="51" bestFit="1" customWidth="1"/>
    <col min="13833" max="13833" width="4.85546875" style="51" customWidth="1"/>
    <col min="13834" max="13834" width="21.5703125" style="51" bestFit="1" customWidth="1"/>
    <col min="13835" max="14075" width="9.140625" style="51"/>
    <col min="14076" max="14076" width="9.42578125" style="51" bestFit="1" customWidth="1"/>
    <col min="14077" max="14077" width="21.5703125" style="51" bestFit="1" customWidth="1"/>
    <col min="14078" max="14078" width="6.5703125" style="51" bestFit="1" customWidth="1"/>
    <col min="14079" max="14079" width="6" style="51" bestFit="1" customWidth="1"/>
    <col min="14080" max="14080" width="7" style="51" bestFit="1" customWidth="1"/>
    <col min="14081" max="14081" width="6.28515625" style="51" customWidth="1"/>
    <col min="14082" max="14082" width="6.140625" style="51" customWidth="1"/>
    <col min="14083" max="14083" width="5.7109375" style="51" bestFit="1" customWidth="1"/>
    <col min="14084" max="14085" width="5.85546875" style="51" bestFit="1" customWidth="1"/>
    <col min="14086" max="14086" width="6" style="51" bestFit="1" customWidth="1"/>
    <col min="14087" max="14087" width="5.7109375" style="51" bestFit="1" customWidth="1"/>
    <col min="14088" max="14088" width="5.85546875" style="51" bestFit="1" customWidth="1"/>
    <col min="14089" max="14089" width="4.85546875" style="51" customWidth="1"/>
    <col min="14090" max="14090" width="21.5703125" style="51" bestFit="1" customWidth="1"/>
    <col min="14091" max="14331" width="11.42578125" style="51"/>
    <col min="14332" max="14332" width="9.42578125" style="51" bestFit="1" customWidth="1"/>
    <col min="14333" max="14333" width="21.5703125" style="51" bestFit="1" customWidth="1"/>
    <col min="14334" max="14334" width="6.5703125" style="51" bestFit="1" customWidth="1"/>
    <col min="14335" max="14335" width="6" style="51" bestFit="1" customWidth="1"/>
    <col min="14336" max="14336" width="7" style="51" bestFit="1" customWidth="1"/>
    <col min="14337" max="14337" width="6.28515625" style="51" customWidth="1"/>
    <col min="14338" max="14338" width="6.140625" style="51" customWidth="1"/>
    <col min="14339" max="14339" width="5.7109375" style="51" bestFit="1" customWidth="1"/>
    <col min="14340" max="14341" width="5.85546875" style="51" bestFit="1" customWidth="1"/>
    <col min="14342" max="14342" width="6" style="51" bestFit="1" customWidth="1"/>
    <col min="14343" max="14343" width="5.7109375" style="51" bestFit="1" customWidth="1"/>
    <col min="14344" max="14344" width="5.85546875" style="51" bestFit="1" customWidth="1"/>
    <col min="14345" max="14345" width="4.85546875" style="51" customWidth="1"/>
    <col min="14346" max="14346" width="21.5703125" style="51" bestFit="1" customWidth="1"/>
    <col min="14347" max="14587" width="9.140625" style="51"/>
    <col min="14588" max="14588" width="9.42578125" style="51" bestFit="1" customWidth="1"/>
    <col min="14589" max="14589" width="21.5703125" style="51" bestFit="1" customWidth="1"/>
    <col min="14590" max="14590" width="6.5703125" style="51" bestFit="1" customWidth="1"/>
    <col min="14591" max="14591" width="6" style="51" bestFit="1" customWidth="1"/>
    <col min="14592" max="14592" width="7" style="51" bestFit="1" customWidth="1"/>
    <col min="14593" max="14593" width="6.28515625" style="51" customWidth="1"/>
    <col min="14594" max="14594" width="6.140625" style="51" customWidth="1"/>
    <col min="14595" max="14595" width="5.7109375" style="51" bestFit="1" customWidth="1"/>
    <col min="14596" max="14597" width="5.85546875" style="51" bestFit="1" customWidth="1"/>
    <col min="14598" max="14598" width="6" style="51" bestFit="1" customWidth="1"/>
    <col min="14599" max="14599" width="5.7109375" style="51" bestFit="1" customWidth="1"/>
    <col min="14600" max="14600" width="5.85546875" style="51" bestFit="1" customWidth="1"/>
    <col min="14601" max="14601" width="4.85546875" style="51" customWidth="1"/>
    <col min="14602" max="14602" width="21.5703125" style="51" bestFit="1" customWidth="1"/>
    <col min="14603" max="14843" width="9.140625" style="51"/>
    <col min="14844" max="14844" width="9.42578125" style="51" bestFit="1" customWidth="1"/>
    <col min="14845" max="14845" width="21.5703125" style="51" bestFit="1" customWidth="1"/>
    <col min="14846" max="14846" width="6.5703125" style="51" bestFit="1" customWidth="1"/>
    <col min="14847" max="14847" width="6" style="51" bestFit="1" customWidth="1"/>
    <col min="14848" max="14848" width="7" style="51" bestFit="1" customWidth="1"/>
    <col min="14849" max="14849" width="6.28515625" style="51" customWidth="1"/>
    <col min="14850" max="14850" width="6.140625" style="51" customWidth="1"/>
    <col min="14851" max="14851" width="5.7109375" style="51" bestFit="1" customWidth="1"/>
    <col min="14852" max="14853" width="5.85546875" style="51" bestFit="1" customWidth="1"/>
    <col min="14854" max="14854" width="6" style="51" bestFit="1" customWidth="1"/>
    <col min="14855" max="14855" width="5.7109375" style="51" bestFit="1" customWidth="1"/>
    <col min="14856" max="14856" width="5.85546875" style="51" bestFit="1" customWidth="1"/>
    <col min="14857" max="14857" width="4.85546875" style="51" customWidth="1"/>
    <col min="14858" max="14858" width="21.5703125" style="51" bestFit="1" customWidth="1"/>
    <col min="14859" max="15099" width="9.140625" style="51"/>
    <col min="15100" max="15100" width="9.42578125" style="51" bestFit="1" customWidth="1"/>
    <col min="15101" max="15101" width="21.5703125" style="51" bestFit="1" customWidth="1"/>
    <col min="15102" max="15102" width="6.5703125" style="51" bestFit="1" customWidth="1"/>
    <col min="15103" max="15103" width="6" style="51" bestFit="1" customWidth="1"/>
    <col min="15104" max="15104" width="7" style="51" bestFit="1" customWidth="1"/>
    <col min="15105" max="15105" width="6.28515625" style="51" customWidth="1"/>
    <col min="15106" max="15106" width="6.140625" style="51" customWidth="1"/>
    <col min="15107" max="15107" width="5.7109375" style="51" bestFit="1" customWidth="1"/>
    <col min="15108" max="15109" width="5.85546875" style="51" bestFit="1" customWidth="1"/>
    <col min="15110" max="15110" width="6" style="51" bestFit="1" customWidth="1"/>
    <col min="15111" max="15111" width="5.7109375" style="51" bestFit="1" customWidth="1"/>
    <col min="15112" max="15112" width="5.85546875" style="51" bestFit="1" customWidth="1"/>
    <col min="15113" max="15113" width="4.85546875" style="51" customWidth="1"/>
    <col min="15114" max="15114" width="21.5703125" style="51" bestFit="1" customWidth="1"/>
    <col min="15115" max="15355" width="11.42578125" style="51"/>
    <col min="15356" max="15356" width="9.42578125" style="51" bestFit="1" customWidth="1"/>
    <col min="15357" max="15357" width="21.5703125" style="51" bestFit="1" customWidth="1"/>
    <col min="15358" max="15358" width="6.5703125" style="51" bestFit="1" customWidth="1"/>
    <col min="15359" max="15359" width="6" style="51" bestFit="1" customWidth="1"/>
    <col min="15360" max="15360" width="7" style="51" bestFit="1" customWidth="1"/>
    <col min="15361" max="15361" width="6.28515625" style="51" customWidth="1"/>
    <col min="15362" max="15362" width="6.140625" style="51" customWidth="1"/>
    <col min="15363" max="15363" width="5.7109375" style="51" bestFit="1" customWidth="1"/>
    <col min="15364" max="15365" width="5.85546875" style="51" bestFit="1" customWidth="1"/>
    <col min="15366" max="15366" width="6" style="51" bestFit="1" customWidth="1"/>
    <col min="15367" max="15367" width="5.7109375" style="51" bestFit="1" customWidth="1"/>
    <col min="15368" max="15368" width="5.85546875" style="51" bestFit="1" customWidth="1"/>
    <col min="15369" max="15369" width="4.85546875" style="51" customWidth="1"/>
    <col min="15370" max="15370" width="21.5703125" style="51" bestFit="1" customWidth="1"/>
    <col min="15371" max="15611" width="9.140625" style="51"/>
    <col min="15612" max="15612" width="9.42578125" style="51" bestFit="1" customWidth="1"/>
    <col min="15613" max="15613" width="21.5703125" style="51" bestFit="1" customWidth="1"/>
    <col min="15614" max="15614" width="6.5703125" style="51" bestFit="1" customWidth="1"/>
    <col min="15615" max="15615" width="6" style="51" bestFit="1" customWidth="1"/>
    <col min="15616" max="15616" width="7" style="51" bestFit="1" customWidth="1"/>
    <col min="15617" max="15617" width="6.28515625" style="51" customWidth="1"/>
    <col min="15618" max="15618" width="6.140625" style="51" customWidth="1"/>
    <col min="15619" max="15619" width="5.7109375" style="51" bestFit="1" customWidth="1"/>
    <col min="15620" max="15621" width="5.85546875" style="51" bestFit="1" customWidth="1"/>
    <col min="15622" max="15622" width="6" style="51" bestFit="1" customWidth="1"/>
    <col min="15623" max="15623" width="5.7109375" style="51" bestFit="1" customWidth="1"/>
    <col min="15624" max="15624" width="5.85546875" style="51" bestFit="1" customWidth="1"/>
    <col min="15625" max="15625" width="4.85546875" style="51" customWidth="1"/>
    <col min="15626" max="15626" width="21.5703125" style="51" bestFit="1" customWidth="1"/>
    <col min="15627" max="15867" width="9.140625" style="51"/>
    <col min="15868" max="15868" width="9.42578125" style="51" bestFit="1" customWidth="1"/>
    <col min="15869" max="15869" width="21.5703125" style="51" bestFit="1" customWidth="1"/>
    <col min="15870" max="15870" width="6.5703125" style="51" bestFit="1" customWidth="1"/>
    <col min="15871" max="15871" width="6" style="51" bestFit="1" customWidth="1"/>
    <col min="15872" max="15872" width="7" style="51" bestFit="1" customWidth="1"/>
    <col min="15873" max="15873" width="6.28515625" style="51" customWidth="1"/>
    <col min="15874" max="15874" width="6.140625" style="51" customWidth="1"/>
    <col min="15875" max="15875" width="5.7109375" style="51" bestFit="1" customWidth="1"/>
    <col min="15876" max="15877" width="5.85546875" style="51" bestFit="1" customWidth="1"/>
    <col min="15878" max="15878" width="6" style="51" bestFit="1" customWidth="1"/>
    <col min="15879" max="15879" width="5.7109375" style="51" bestFit="1" customWidth="1"/>
    <col min="15880" max="15880" width="5.85546875" style="51" bestFit="1" customWidth="1"/>
    <col min="15881" max="15881" width="4.85546875" style="51" customWidth="1"/>
    <col min="15882" max="15882" width="21.5703125" style="51" bestFit="1" customWidth="1"/>
    <col min="15883" max="16123" width="9.140625" style="51"/>
    <col min="16124" max="16124" width="9.42578125" style="51" bestFit="1" customWidth="1"/>
    <col min="16125" max="16125" width="21.5703125" style="51" bestFit="1" customWidth="1"/>
    <col min="16126" max="16126" width="6.5703125" style="51" bestFit="1" customWidth="1"/>
    <col min="16127" max="16127" width="6" style="51" bestFit="1" customWidth="1"/>
    <col min="16128" max="16128" width="7" style="51" bestFit="1" customWidth="1"/>
    <col min="16129" max="16129" width="6.28515625" style="51" customWidth="1"/>
    <col min="16130" max="16130" width="6.140625" style="51" customWidth="1"/>
    <col min="16131" max="16131" width="5.7109375" style="51" bestFit="1" customWidth="1"/>
    <col min="16132" max="16133" width="5.85546875" style="51" bestFit="1" customWidth="1"/>
    <col min="16134" max="16134" width="6" style="51" bestFit="1" customWidth="1"/>
    <col min="16135" max="16135" width="5.7109375" style="51" bestFit="1" customWidth="1"/>
    <col min="16136" max="16136" width="5.85546875" style="51" bestFit="1" customWidth="1"/>
    <col min="16137" max="16137" width="4.85546875" style="51" customWidth="1"/>
    <col min="16138" max="16138" width="21.5703125" style="51" bestFit="1" customWidth="1"/>
    <col min="16139" max="16384" width="11.42578125" style="51"/>
  </cols>
  <sheetData>
    <row r="2" spans="1:32" ht="11.25" customHeight="1" x14ac:dyDescent="0.2">
      <c r="A2" s="40"/>
      <c r="B2" s="147" t="s">
        <v>81</v>
      </c>
      <c r="C2" s="88" t="s">
        <v>102</v>
      </c>
      <c r="D2" s="88" t="s">
        <v>103</v>
      </c>
      <c r="E2" s="88" t="s">
        <v>104</v>
      </c>
      <c r="F2" s="88" t="s">
        <v>105</v>
      </c>
      <c r="G2" s="88" t="s">
        <v>106</v>
      </c>
      <c r="H2" s="88" t="s">
        <v>107</v>
      </c>
      <c r="I2" s="88" t="s">
        <v>108</v>
      </c>
      <c r="J2" s="88" t="s">
        <v>109</v>
      </c>
      <c r="K2" s="88" t="s">
        <v>110</v>
      </c>
      <c r="L2" s="88" t="s">
        <v>111</v>
      </c>
      <c r="M2" s="88" t="s">
        <v>112</v>
      </c>
      <c r="N2" s="88" t="s">
        <v>113</v>
      </c>
      <c r="O2" s="88" t="s">
        <v>114</v>
      </c>
      <c r="P2" s="88" t="s">
        <v>115</v>
      </c>
      <c r="Q2" s="88" t="s">
        <v>123</v>
      </c>
      <c r="R2" s="88"/>
      <c r="S2" s="147" t="s">
        <v>28</v>
      </c>
      <c r="T2" s="147" t="s">
        <v>95</v>
      </c>
      <c r="U2" s="147" t="s">
        <v>96</v>
      </c>
      <c r="V2" s="160" t="s">
        <v>31</v>
      </c>
      <c r="W2" s="160" t="s">
        <v>73</v>
      </c>
      <c r="X2" s="147" t="s">
        <v>74</v>
      </c>
      <c r="Y2" s="147" t="s">
        <v>30</v>
      </c>
      <c r="Z2" s="149" t="s">
        <v>54</v>
      </c>
      <c r="AA2" s="149"/>
      <c r="AB2" s="149"/>
      <c r="AC2" s="147" t="s">
        <v>97</v>
      </c>
      <c r="AD2" s="40"/>
      <c r="AE2" s="40"/>
      <c r="AF2" s="40"/>
    </row>
    <row r="3" spans="1:32" x14ac:dyDescent="0.2">
      <c r="A3" s="40"/>
      <c r="B3" s="147"/>
      <c r="C3" s="42">
        <v>13496</v>
      </c>
      <c r="D3" s="45">
        <v>1980</v>
      </c>
      <c r="E3" s="42">
        <v>12180</v>
      </c>
      <c r="F3" s="42">
        <v>1180</v>
      </c>
      <c r="G3" s="42">
        <v>4096</v>
      </c>
      <c r="H3" s="45">
        <v>4314</v>
      </c>
      <c r="I3" s="42">
        <v>18465</v>
      </c>
      <c r="J3" s="42">
        <v>1740</v>
      </c>
      <c r="K3" s="42">
        <v>1740</v>
      </c>
      <c r="L3" s="45">
        <v>1980</v>
      </c>
      <c r="M3" s="42">
        <v>4754</v>
      </c>
      <c r="N3" s="42">
        <v>4660</v>
      </c>
      <c r="O3" s="42">
        <v>10832</v>
      </c>
      <c r="P3" s="45">
        <v>5000</v>
      </c>
      <c r="Q3" s="42">
        <f>100/0.85</f>
        <v>117.64705882352942</v>
      </c>
      <c r="R3" s="42"/>
      <c r="S3" s="147"/>
      <c r="T3" s="147"/>
      <c r="U3" s="147"/>
      <c r="V3" s="161"/>
      <c r="W3" s="161"/>
      <c r="X3" s="147"/>
      <c r="Y3" s="147"/>
      <c r="Z3" s="89" t="s">
        <v>92</v>
      </c>
      <c r="AA3" s="89" t="s">
        <v>55</v>
      </c>
      <c r="AB3" s="89" t="s">
        <v>56</v>
      </c>
      <c r="AC3" s="147"/>
      <c r="AD3" s="40"/>
      <c r="AE3" s="40"/>
      <c r="AF3" s="40"/>
    </row>
    <row r="4" spans="1:32" x14ac:dyDescent="0.2">
      <c r="A4" s="39"/>
      <c r="B4" s="49" t="str">
        <f>+C2</f>
        <v>De Corte</v>
      </c>
      <c r="C4" s="41">
        <v>1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>
        <f>+$C$3*C4+$D$3*D4+$E$3*E4+$F$3*F4+$G$3*G4+$H$3*H4+$I$3*I4+$J$3*J4+$K$3*K4+$L$3*L4+$M$3*M4+$N$3*N4+$O$3*O4+$P$3*P4</f>
        <v>13496</v>
      </c>
      <c r="T4" s="41">
        <v>3</v>
      </c>
      <c r="U4" s="41">
        <v>220</v>
      </c>
      <c r="V4" s="52">
        <f>+S4/((IF(T4=3,SQRT(3),1))*U4)</f>
        <v>35.417814695378134</v>
      </c>
      <c r="W4" s="52">
        <f>+V4*1.25</f>
        <v>44.272268369222665</v>
      </c>
      <c r="X4" s="52">
        <f>+V4</f>
        <v>35.417814695378134</v>
      </c>
      <c r="Y4" s="53"/>
      <c r="Z4" s="53"/>
      <c r="AA4" s="53"/>
      <c r="AB4" s="53"/>
      <c r="AC4" s="53"/>
      <c r="AD4" s="39"/>
      <c r="AE4" s="39"/>
      <c r="AF4" s="39"/>
    </row>
    <row r="5" spans="1:32" x14ac:dyDescent="0.2">
      <c r="A5" s="39"/>
      <c r="B5" s="49" t="str">
        <f>+D2</f>
        <v>Recepciòn de muestras</v>
      </c>
      <c r="C5" s="41"/>
      <c r="D5" s="41">
        <v>1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>
        <f t="shared" ref="S5:S17" si="0">+$C$3*C5+$D$3*D5+$E$3*E5+$F$3*F5+$G$3*G5+$H$3*H5+$I$3*I5+$J$3*J5+$K$3*K5+$L$3*L5+$M$3*M5+$N$3*N5+$O$3*O5+$P$3*P5</f>
        <v>1980</v>
      </c>
      <c r="T5" s="41">
        <v>3</v>
      </c>
      <c r="U5" s="41">
        <v>220</v>
      </c>
      <c r="V5" s="52">
        <f t="shared" ref="V5:V17" si="1">+S5/((IF(T5=3,SQRT(3),1))*U5)</f>
        <v>5.196152422706632</v>
      </c>
      <c r="W5" s="52">
        <f t="shared" ref="W5:W18" si="2">+V5*1.25</f>
        <v>6.49519052838329</v>
      </c>
      <c r="X5" s="52">
        <f t="shared" ref="X5:X17" si="3">+V5</f>
        <v>5.196152422706632</v>
      </c>
      <c r="Y5" s="53"/>
      <c r="Z5" s="53"/>
      <c r="AA5" s="53"/>
      <c r="AB5" s="53"/>
      <c r="AC5" s="53"/>
      <c r="AD5" s="39"/>
      <c r="AE5" s="39"/>
      <c r="AF5" s="39"/>
    </row>
    <row r="6" spans="1:32" x14ac:dyDescent="0.2">
      <c r="A6" s="39"/>
      <c r="B6" s="49" t="str">
        <f>+E2</f>
        <v>Prensa y compresión</v>
      </c>
      <c r="C6" s="41"/>
      <c r="D6" s="41"/>
      <c r="E6" s="41">
        <v>1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>
        <f t="shared" si="0"/>
        <v>12180</v>
      </c>
      <c r="T6" s="41">
        <v>3</v>
      </c>
      <c r="U6" s="41">
        <v>220</v>
      </c>
      <c r="V6" s="52">
        <f t="shared" si="1"/>
        <v>31.964210357862012</v>
      </c>
      <c r="W6" s="52">
        <f t="shared" si="2"/>
        <v>39.955262947327512</v>
      </c>
      <c r="X6" s="52">
        <f t="shared" si="3"/>
        <v>31.964210357862012</v>
      </c>
      <c r="Y6" s="53"/>
      <c r="Z6" s="53"/>
      <c r="AA6" s="53"/>
      <c r="AB6" s="53"/>
      <c r="AC6" s="53"/>
      <c r="AD6" s="39"/>
      <c r="AE6" s="39"/>
      <c r="AF6" s="39"/>
    </row>
    <row r="7" spans="1:32" x14ac:dyDescent="0.2">
      <c r="A7" s="39"/>
      <c r="B7" s="49" t="str">
        <f>+F2</f>
        <v>Cuarto Eléctrico</v>
      </c>
      <c r="C7" s="41"/>
      <c r="D7" s="41"/>
      <c r="E7" s="41"/>
      <c r="F7" s="41">
        <v>1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>
        <f t="shared" si="0"/>
        <v>1180</v>
      </c>
      <c r="T7" s="41">
        <v>3</v>
      </c>
      <c r="U7" s="41">
        <v>220</v>
      </c>
      <c r="V7" s="52">
        <f t="shared" si="1"/>
        <v>3.0966968983807202</v>
      </c>
      <c r="W7" s="52">
        <f t="shared" si="2"/>
        <v>3.8708711229759003</v>
      </c>
      <c r="X7" s="52">
        <f t="shared" si="3"/>
        <v>3.0966968983807202</v>
      </c>
      <c r="Y7" s="53"/>
      <c r="Z7" s="53"/>
      <c r="AA7" s="53"/>
      <c r="AB7" s="53"/>
      <c r="AC7" s="53"/>
      <c r="AD7" s="39"/>
      <c r="AE7" s="39"/>
      <c r="AF7" s="39"/>
    </row>
    <row r="8" spans="1:32" s="67" customFormat="1" x14ac:dyDescent="0.2">
      <c r="A8" s="63"/>
      <c r="B8" s="49" t="str">
        <f>+G2</f>
        <v>Pesaje</v>
      </c>
      <c r="C8" s="65"/>
      <c r="D8" s="65"/>
      <c r="E8" s="65"/>
      <c r="F8" s="65"/>
      <c r="G8" s="65">
        <v>1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41">
        <f t="shared" si="0"/>
        <v>4096</v>
      </c>
      <c r="T8" s="41">
        <v>3</v>
      </c>
      <c r="U8" s="41">
        <v>220</v>
      </c>
      <c r="V8" s="52">
        <f t="shared" si="1"/>
        <v>10.749212284548669</v>
      </c>
      <c r="W8" s="52">
        <f t="shared" si="2"/>
        <v>13.436515355685836</v>
      </c>
      <c r="X8" s="52">
        <f t="shared" si="3"/>
        <v>10.749212284548669</v>
      </c>
      <c r="Y8" s="66"/>
      <c r="Z8" s="66"/>
      <c r="AA8" s="66"/>
      <c r="AB8" s="66"/>
      <c r="AC8" s="66"/>
      <c r="AD8" s="63"/>
      <c r="AE8" s="63"/>
      <c r="AF8" s="63"/>
    </row>
    <row r="9" spans="1:32" s="67" customFormat="1" x14ac:dyDescent="0.2">
      <c r="A9" s="63"/>
      <c r="B9" s="49" t="str">
        <f>+H2</f>
        <v>Lavado</v>
      </c>
      <c r="C9" s="65"/>
      <c r="D9" s="65"/>
      <c r="E9" s="65"/>
      <c r="F9" s="65"/>
      <c r="G9" s="65"/>
      <c r="H9" s="65">
        <v>1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41">
        <f t="shared" si="0"/>
        <v>4314</v>
      </c>
      <c r="T9" s="41">
        <v>3</v>
      </c>
      <c r="U9" s="41">
        <v>220</v>
      </c>
      <c r="V9" s="52">
        <f t="shared" si="1"/>
        <v>11.321313914927481</v>
      </c>
      <c r="W9" s="52">
        <f t="shared" si="2"/>
        <v>14.151642393659351</v>
      </c>
      <c r="X9" s="52">
        <f t="shared" si="3"/>
        <v>11.321313914927481</v>
      </c>
      <c r="Y9" s="66"/>
      <c r="Z9" s="66"/>
      <c r="AA9" s="66"/>
      <c r="AB9" s="66"/>
      <c r="AC9" s="66"/>
      <c r="AD9" s="63"/>
      <c r="AE9" s="63"/>
      <c r="AF9" s="63"/>
    </row>
    <row r="10" spans="1:32" x14ac:dyDescent="0.2">
      <c r="A10" s="39"/>
      <c r="B10" s="49" t="str">
        <f>+I2</f>
        <v>Secado</v>
      </c>
      <c r="C10" s="41"/>
      <c r="D10" s="41"/>
      <c r="E10" s="41"/>
      <c r="F10" s="41"/>
      <c r="G10" s="41"/>
      <c r="H10" s="41"/>
      <c r="I10" s="41">
        <v>1</v>
      </c>
      <c r="J10" s="41"/>
      <c r="K10" s="41"/>
      <c r="L10" s="41"/>
      <c r="M10" s="41"/>
      <c r="N10" s="41"/>
      <c r="O10" s="41"/>
      <c r="P10" s="41"/>
      <c r="Q10" s="41"/>
      <c r="R10" s="41"/>
      <c r="S10" s="41">
        <f t="shared" si="0"/>
        <v>18465</v>
      </c>
      <c r="T10" s="41">
        <v>3</v>
      </c>
      <c r="U10" s="41">
        <v>220</v>
      </c>
      <c r="V10" s="52">
        <f t="shared" si="1"/>
        <v>48.458057820847458</v>
      </c>
      <c r="W10" s="52">
        <f t="shared" si="2"/>
        <v>60.572572276059319</v>
      </c>
      <c r="X10" s="52">
        <f t="shared" si="3"/>
        <v>48.458057820847458</v>
      </c>
      <c r="Y10" s="53"/>
      <c r="Z10" s="53"/>
      <c r="AA10" s="53"/>
      <c r="AB10" s="53"/>
      <c r="AC10" s="53"/>
      <c r="AD10" s="39"/>
      <c r="AE10" s="39"/>
      <c r="AF10" s="39"/>
    </row>
    <row r="11" spans="1:32" s="71" customFormat="1" x14ac:dyDescent="0.2">
      <c r="A11" s="68"/>
      <c r="B11" s="49" t="str">
        <f>+J2</f>
        <v>Fotografia</v>
      </c>
      <c r="C11" s="62"/>
      <c r="D11" s="62"/>
      <c r="E11" s="62"/>
      <c r="F11" s="62"/>
      <c r="G11" s="62"/>
      <c r="H11" s="62"/>
      <c r="I11" s="62"/>
      <c r="J11" s="62">
        <v>1</v>
      </c>
      <c r="K11" s="62"/>
      <c r="L11" s="62"/>
      <c r="M11" s="62"/>
      <c r="N11" s="62"/>
      <c r="O11" s="62"/>
      <c r="P11" s="62"/>
      <c r="Q11" s="62"/>
      <c r="R11" s="62"/>
      <c r="S11" s="41">
        <f t="shared" si="0"/>
        <v>1740</v>
      </c>
      <c r="T11" s="41">
        <v>3</v>
      </c>
      <c r="U11" s="41">
        <v>220</v>
      </c>
      <c r="V11" s="52">
        <f t="shared" si="1"/>
        <v>4.5663157654088584</v>
      </c>
      <c r="W11" s="52">
        <f t="shared" si="2"/>
        <v>5.7078947067610732</v>
      </c>
      <c r="X11" s="52">
        <f t="shared" si="3"/>
        <v>4.5663157654088584</v>
      </c>
      <c r="Y11" s="70"/>
      <c r="Z11" s="70"/>
      <c r="AA11" s="70"/>
      <c r="AB11" s="70"/>
      <c r="AC11" s="70"/>
      <c r="AD11" s="68"/>
      <c r="AE11" s="68"/>
      <c r="AF11" s="68"/>
    </row>
    <row r="12" spans="1:32" x14ac:dyDescent="0.2">
      <c r="A12" s="39"/>
      <c r="B12" s="49" t="str">
        <f>+K2</f>
        <v>Equipo XRF</v>
      </c>
      <c r="C12" s="41"/>
      <c r="D12" s="41"/>
      <c r="E12" s="41"/>
      <c r="F12" s="41"/>
      <c r="G12" s="41"/>
      <c r="H12" s="41"/>
      <c r="I12" s="41"/>
      <c r="J12" s="41"/>
      <c r="K12" s="41">
        <v>1</v>
      </c>
      <c r="L12" s="41"/>
      <c r="M12" s="41"/>
      <c r="N12" s="41"/>
      <c r="O12" s="41"/>
      <c r="P12" s="41"/>
      <c r="Q12" s="41"/>
      <c r="R12" s="41"/>
      <c r="S12" s="41">
        <f t="shared" si="0"/>
        <v>1740</v>
      </c>
      <c r="T12" s="41">
        <v>3</v>
      </c>
      <c r="U12" s="41">
        <v>220</v>
      </c>
      <c r="V12" s="52">
        <f t="shared" si="1"/>
        <v>4.5663157654088584</v>
      </c>
      <c r="W12" s="52">
        <f t="shared" si="2"/>
        <v>5.7078947067610732</v>
      </c>
      <c r="X12" s="52">
        <f t="shared" si="3"/>
        <v>4.5663157654088584</v>
      </c>
      <c r="Y12" s="53"/>
      <c r="Z12" s="53"/>
      <c r="AA12" s="53"/>
      <c r="AB12" s="53"/>
      <c r="AC12" s="53"/>
      <c r="AD12" s="39"/>
      <c r="AE12" s="39"/>
      <c r="AF12" s="39"/>
    </row>
    <row r="13" spans="1:32" x14ac:dyDescent="0.2">
      <c r="A13" s="39"/>
      <c r="B13" s="49" t="str">
        <f>+L2</f>
        <v>Lab 1</v>
      </c>
      <c r="C13" s="41"/>
      <c r="D13" s="41"/>
      <c r="E13" s="41"/>
      <c r="F13" s="41"/>
      <c r="G13" s="41"/>
      <c r="H13" s="41"/>
      <c r="I13" s="41"/>
      <c r="J13" s="41"/>
      <c r="K13" s="41"/>
      <c r="L13" s="41">
        <v>1</v>
      </c>
      <c r="M13" s="41"/>
      <c r="N13" s="41"/>
      <c r="O13" s="41"/>
      <c r="P13" s="41"/>
      <c r="Q13" s="41"/>
      <c r="R13" s="41"/>
      <c r="S13" s="41">
        <f t="shared" si="0"/>
        <v>1980</v>
      </c>
      <c r="T13" s="41">
        <v>3</v>
      </c>
      <c r="U13" s="41">
        <v>220</v>
      </c>
      <c r="V13" s="52">
        <f t="shared" si="1"/>
        <v>5.196152422706632</v>
      </c>
      <c r="W13" s="52">
        <f t="shared" si="2"/>
        <v>6.49519052838329</v>
      </c>
      <c r="X13" s="52">
        <f t="shared" si="3"/>
        <v>5.196152422706632</v>
      </c>
      <c r="Y13" s="53"/>
      <c r="Z13" s="53"/>
      <c r="AA13" s="53"/>
      <c r="AB13" s="53"/>
      <c r="AC13" s="53"/>
      <c r="AD13" s="39"/>
      <c r="AE13" s="39"/>
      <c r="AF13" s="39"/>
    </row>
    <row r="14" spans="1:32" x14ac:dyDescent="0.2">
      <c r="B14" s="49" t="str">
        <f>+M2</f>
        <v>Lab 2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>
        <v>1</v>
      </c>
      <c r="N14" s="41"/>
      <c r="O14" s="41"/>
      <c r="P14" s="41"/>
      <c r="Q14" s="41"/>
      <c r="R14" s="41"/>
      <c r="S14" s="41">
        <f t="shared" si="0"/>
        <v>4754</v>
      </c>
      <c r="T14" s="41">
        <v>3</v>
      </c>
      <c r="U14" s="41">
        <v>220</v>
      </c>
      <c r="V14" s="52">
        <f t="shared" si="1"/>
        <v>12.476014453306732</v>
      </c>
      <c r="W14" s="52">
        <f t="shared" si="2"/>
        <v>15.595018066633415</v>
      </c>
      <c r="X14" s="52">
        <f t="shared" si="3"/>
        <v>12.476014453306732</v>
      </c>
      <c r="Y14" s="53"/>
      <c r="Z14" s="53"/>
      <c r="AA14" s="53"/>
      <c r="AB14" s="53"/>
      <c r="AC14" s="53"/>
      <c r="AD14" s="39"/>
    </row>
    <row r="15" spans="1:32" x14ac:dyDescent="0.2">
      <c r="B15" s="49" t="str">
        <f>+N2</f>
        <v>Baños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>
        <v>1</v>
      </c>
      <c r="O15" s="41"/>
      <c r="P15" s="41"/>
      <c r="Q15" s="41"/>
      <c r="R15" s="41"/>
      <c r="S15" s="41">
        <f t="shared" si="0"/>
        <v>4660</v>
      </c>
      <c r="T15" s="41">
        <v>3</v>
      </c>
      <c r="U15" s="41">
        <v>220</v>
      </c>
      <c r="V15" s="52">
        <f t="shared" si="1"/>
        <v>12.229328429198437</v>
      </c>
      <c r="W15" s="52">
        <f t="shared" si="2"/>
        <v>15.286660536498047</v>
      </c>
      <c r="X15" s="52">
        <f t="shared" si="3"/>
        <v>12.229328429198437</v>
      </c>
      <c r="Y15" s="53"/>
      <c r="Z15" s="53"/>
      <c r="AA15" s="53"/>
      <c r="AB15" s="53"/>
      <c r="AC15" s="53"/>
      <c r="AD15" s="39"/>
    </row>
    <row r="16" spans="1:32" x14ac:dyDescent="0.2">
      <c r="B16" s="49" t="str">
        <f>+O2</f>
        <v>Servicios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>
        <v>1</v>
      </c>
      <c r="P16" s="41"/>
      <c r="Q16" s="41"/>
      <c r="R16" s="41"/>
      <c r="S16" s="41">
        <f t="shared" si="0"/>
        <v>10832</v>
      </c>
      <c r="T16" s="41">
        <v>3</v>
      </c>
      <c r="U16" s="41">
        <v>220</v>
      </c>
      <c r="V16" s="52">
        <f t="shared" si="1"/>
        <v>28.426627799372849</v>
      </c>
      <c r="W16" s="52">
        <f t="shared" si="2"/>
        <v>35.533284749216058</v>
      </c>
      <c r="X16" s="52">
        <f t="shared" si="3"/>
        <v>28.426627799372849</v>
      </c>
      <c r="Y16" s="53"/>
      <c r="Z16" s="53"/>
      <c r="AA16" s="53"/>
      <c r="AB16" s="53"/>
      <c r="AC16" s="53"/>
      <c r="AD16" s="39"/>
    </row>
    <row r="17" spans="2:30" x14ac:dyDescent="0.2">
      <c r="B17" s="49" t="str">
        <f>+P2</f>
        <v>UPS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>
        <v>1</v>
      </c>
      <c r="Q17" s="41"/>
      <c r="R17" s="41"/>
      <c r="S17" s="41">
        <f t="shared" si="0"/>
        <v>5000</v>
      </c>
      <c r="T17" s="41">
        <v>3</v>
      </c>
      <c r="U17" s="41">
        <v>220</v>
      </c>
      <c r="V17" s="52">
        <f t="shared" si="1"/>
        <v>13.12159702703695</v>
      </c>
      <c r="W17" s="52">
        <f t="shared" si="2"/>
        <v>16.401996283796187</v>
      </c>
      <c r="X17" s="52">
        <f t="shared" si="3"/>
        <v>13.12159702703695</v>
      </c>
      <c r="Y17" s="53"/>
      <c r="Z17" s="53"/>
      <c r="AA17" s="53"/>
      <c r="AB17" s="53"/>
      <c r="AC17" s="53"/>
      <c r="AD17" s="39"/>
    </row>
    <row r="18" spans="2:30" x14ac:dyDescent="0.2">
      <c r="B18" s="49" t="str">
        <f>+Q2</f>
        <v>Led (iluminación exterior)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>
        <v>9</v>
      </c>
      <c r="R18" s="41"/>
      <c r="S18" s="41">
        <f>+$Q$3*Q18</f>
        <v>1058.8235294117649</v>
      </c>
      <c r="T18" s="41">
        <v>3</v>
      </c>
      <c r="U18" s="41">
        <v>220</v>
      </c>
      <c r="V18" s="52">
        <f>+S18/((IF(T18=3,SQRT(3),1))*U18)</f>
        <v>2.7786911351372368</v>
      </c>
      <c r="W18" s="52">
        <f t="shared" si="2"/>
        <v>3.4733639189215459</v>
      </c>
      <c r="X18" s="52">
        <f>+V18</f>
        <v>2.7786911351372368</v>
      </c>
      <c r="Y18" s="53"/>
      <c r="Z18" s="53"/>
      <c r="AA18" s="53"/>
      <c r="AB18" s="53"/>
      <c r="AC18" s="53"/>
      <c r="AD18" s="39"/>
    </row>
    <row r="19" spans="2:30" x14ac:dyDescent="0.2">
      <c r="B19" s="49" t="s">
        <v>76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>
        <f>SUM(S4:S18)*0.1</f>
        <v>8747.5823529411773</v>
      </c>
      <c r="T19" s="41">
        <v>3</v>
      </c>
      <c r="U19" s="41">
        <v>220</v>
      </c>
      <c r="V19" s="52">
        <f>+S19/((IF(T19=3,SQRT(3),1))*U19)</f>
        <v>22.956450119222769</v>
      </c>
      <c r="W19" s="52">
        <f>+V19*1.25</f>
        <v>28.69556264902846</v>
      </c>
      <c r="X19" s="52">
        <f>+V19</f>
        <v>22.956450119222769</v>
      </c>
      <c r="Y19" s="53"/>
      <c r="Z19" s="53"/>
      <c r="AA19" s="53"/>
      <c r="AB19" s="53"/>
      <c r="AC19" s="53"/>
      <c r="AD19" s="39"/>
    </row>
    <row r="20" spans="2:30" x14ac:dyDescent="0.2">
      <c r="B20" s="50" t="s">
        <v>75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7">
        <f>SUM(S4:S19)</f>
        <v>96223.405882352934</v>
      </c>
      <c r="T20" s="41">
        <v>3</v>
      </c>
      <c r="U20" s="41">
        <v>220</v>
      </c>
      <c r="V20" s="52">
        <f>+S20/((IF(T20=3,SQRT(3),1))*U20)</f>
        <v>252.5209513114504</v>
      </c>
      <c r="W20" s="52">
        <f>+V20*1.25</f>
        <v>315.65118913931303</v>
      </c>
      <c r="X20" s="52">
        <f>+V20</f>
        <v>252.5209513114504</v>
      </c>
      <c r="Y20" s="53" t="s">
        <v>99</v>
      </c>
      <c r="Z20" s="53">
        <v>500</v>
      </c>
      <c r="AA20" s="53">
        <v>500</v>
      </c>
      <c r="AB20" s="53">
        <v>500</v>
      </c>
      <c r="AC20" s="53" t="s">
        <v>116</v>
      </c>
      <c r="AD20" s="39"/>
    </row>
    <row r="21" spans="2:30" x14ac:dyDescent="0.2">
      <c r="B21" s="50" t="s">
        <v>75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7">
        <v>150000</v>
      </c>
      <c r="T21" s="41">
        <v>3</v>
      </c>
      <c r="U21" s="41">
        <v>220</v>
      </c>
      <c r="V21" s="52">
        <f>+S21/((IF(T21=3,SQRT(3),1))*U21)</f>
        <v>393.64791081110849</v>
      </c>
      <c r="W21" s="52">
        <f>+V21*1.25</f>
        <v>492.0598885138856</v>
      </c>
      <c r="X21" s="52">
        <f>+V21</f>
        <v>393.64791081110849</v>
      </c>
      <c r="Y21" s="53"/>
      <c r="Z21" s="53"/>
      <c r="AA21" s="53"/>
      <c r="AB21" s="53"/>
      <c r="AC21" s="53"/>
      <c r="AD21" s="39"/>
    </row>
    <row r="23" spans="2:30" x14ac:dyDescent="0.2">
      <c r="B23" s="148" t="s">
        <v>80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46"/>
    </row>
    <row r="24" spans="2:30" ht="12.75" customHeight="1" x14ac:dyDescent="0.2">
      <c r="B24" s="148" t="s">
        <v>34</v>
      </c>
      <c r="C24" s="148"/>
      <c r="D24" s="148" t="s">
        <v>33</v>
      </c>
      <c r="E24" s="148" t="s">
        <v>27</v>
      </c>
      <c r="F24" s="148"/>
      <c r="G24" s="148"/>
      <c r="H24" s="150" t="s">
        <v>32</v>
      </c>
      <c r="I24" s="151" t="s">
        <v>85</v>
      </c>
      <c r="J24" s="152"/>
      <c r="K24" s="153"/>
      <c r="L24" s="150" t="s">
        <v>32</v>
      </c>
      <c r="M24" s="148" t="s">
        <v>27</v>
      </c>
      <c r="N24" s="148"/>
      <c r="O24" s="148"/>
      <c r="P24" s="148" t="s">
        <v>33</v>
      </c>
      <c r="Q24" s="148" t="s">
        <v>34</v>
      </c>
      <c r="R24" s="148"/>
    </row>
    <row r="25" spans="2:30" x14ac:dyDescent="0.2">
      <c r="B25" s="148"/>
      <c r="C25" s="148"/>
      <c r="D25" s="148"/>
      <c r="E25" s="72" t="s">
        <v>7</v>
      </c>
      <c r="F25" s="72" t="s">
        <v>13</v>
      </c>
      <c r="G25" s="72" t="s">
        <v>14</v>
      </c>
      <c r="H25" s="148"/>
      <c r="I25" s="154"/>
      <c r="J25" s="155"/>
      <c r="K25" s="156"/>
      <c r="L25" s="148"/>
      <c r="M25" s="72" t="s">
        <v>7</v>
      </c>
      <c r="N25" s="72" t="s">
        <v>13</v>
      </c>
      <c r="O25" s="72" t="s">
        <v>14</v>
      </c>
      <c r="P25" s="148"/>
      <c r="Q25" s="148"/>
      <c r="R25" s="148"/>
    </row>
    <row r="26" spans="2:30" x14ac:dyDescent="0.2">
      <c r="B26" s="157" t="str">
        <f>+B4</f>
        <v>De Corte</v>
      </c>
      <c r="C26" s="48">
        <v>1</v>
      </c>
      <c r="D26" s="31">
        <f>+S4/3</f>
        <v>4498.666666666667</v>
      </c>
      <c r="E26" s="44">
        <f>D26</f>
        <v>4498.666666666667</v>
      </c>
      <c r="F26" s="44"/>
      <c r="G26" s="44"/>
      <c r="H26" s="157">
        <f>+Y4</f>
        <v>0</v>
      </c>
      <c r="I26" s="73"/>
      <c r="J26" s="73"/>
      <c r="K26" s="73"/>
      <c r="L26" s="32"/>
      <c r="M26" s="44">
        <f>P26</f>
        <v>0</v>
      </c>
      <c r="N26" s="44"/>
      <c r="O26" s="44"/>
      <c r="P26" s="33"/>
      <c r="Q26" s="48">
        <v>2</v>
      </c>
      <c r="R26" s="32"/>
    </row>
    <row r="27" spans="2:30" x14ac:dyDescent="0.2">
      <c r="B27" s="158"/>
      <c r="C27" s="48">
        <v>3</v>
      </c>
      <c r="D27" s="31">
        <f>+D26</f>
        <v>4498.666666666667</v>
      </c>
      <c r="E27" s="44"/>
      <c r="F27" s="44">
        <f>D27</f>
        <v>4498.666666666667</v>
      </c>
      <c r="G27" s="44"/>
      <c r="H27" s="158"/>
      <c r="I27" s="73"/>
      <c r="J27" s="73"/>
      <c r="K27" s="73"/>
      <c r="L27" s="32"/>
      <c r="M27" s="44"/>
      <c r="N27" s="44">
        <f>P27</f>
        <v>0</v>
      </c>
      <c r="O27" s="44"/>
      <c r="P27" s="33"/>
      <c r="Q27" s="48">
        <v>4</v>
      </c>
      <c r="R27" s="32"/>
    </row>
    <row r="28" spans="2:30" x14ac:dyDescent="0.2">
      <c r="B28" s="159"/>
      <c r="C28" s="48">
        <v>5</v>
      </c>
      <c r="D28" s="31">
        <f>+D27</f>
        <v>4498.666666666667</v>
      </c>
      <c r="E28" s="44"/>
      <c r="F28" s="44"/>
      <c r="G28" s="44">
        <f>D28</f>
        <v>4498.666666666667</v>
      </c>
      <c r="H28" s="159"/>
      <c r="I28" s="73"/>
      <c r="J28" s="73"/>
      <c r="K28" s="73"/>
      <c r="L28" s="32"/>
      <c r="M28" s="44"/>
      <c r="N28" s="44"/>
      <c r="O28" s="44">
        <f>P28</f>
        <v>0</v>
      </c>
      <c r="P28" s="33"/>
      <c r="Q28" s="48">
        <v>6</v>
      </c>
      <c r="R28" s="32"/>
    </row>
    <row r="29" spans="2:30" x14ac:dyDescent="0.2">
      <c r="B29" s="32" t="str">
        <f>+B6</f>
        <v>Prensa y compresión</v>
      </c>
      <c r="C29" s="48">
        <v>7</v>
      </c>
      <c r="D29" s="31">
        <f>+S6</f>
        <v>12180</v>
      </c>
      <c r="E29" s="44">
        <f>D29</f>
        <v>12180</v>
      </c>
      <c r="F29" s="44"/>
      <c r="G29" s="44"/>
      <c r="H29" s="32">
        <f>+Y6</f>
        <v>0</v>
      </c>
      <c r="I29" s="73"/>
      <c r="J29" s="73"/>
      <c r="K29" s="73"/>
      <c r="L29" s="32"/>
      <c r="M29" s="44">
        <f>P29</f>
        <v>0</v>
      </c>
      <c r="N29" s="44"/>
      <c r="O29" s="44"/>
      <c r="P29" s="31"/>
      <c r="Q29" s="48">
        <v>8</v>
      </c>
      <c r="R29" s="32"/>
    </row>
    <row r="30" spans="2:30" x14ac:dyDescent="0.2">
      <c r="B30" s="32"/>
      <c r="C30" s="48">
        <v>9</v>
      </c>
      <c r="D30" s="31"/>
      <c r="E30" s="44"/>
      <c r="F30" s="44">
        <f>D30</f>
        <v>0</v>
      </c>
      <c r="G30" s="44"/>
      <c r="H30" s="32"/>
      <c r="I30" s="73"/>
      <c r="J30" s="73"/>
      <c r="K30" s="73"/>
      <c r="L30" s="32"/>
      <c r="M30" s="44"/>
      <c r="N30" s="44">
        <f>P30</f>
        <v>0</v>
      </c>
      <c r="O30" s="44"/>
      <c r="P30" s="31"/>
      <c r="Q30" s="48">
        <v>10</v>
      </c>
      <c r="R30" s="32"/>
    </row>
    <row r="31" spans="2:30" x14ac:dyDescent="0.2">
      <c r="B31" s="32"/>
      <c r="C31" s="48">
        <v>11</v>
      </c>
      <c r="D31" s="31"/>
      <c r="E31" s="44"/>
      <c r="F31" s="44"/>
      <c r="G31" s="44">
        <f>D31</f>
        <v>0</v>
      </c>
      <c r="H31" s="32"/>
      <c r="I31" s="73"/>
      <c r="J31" s="73"/>
      <c r="K31" s="73"/>
      <c r="L31" s="32"/>
      <c r="M31" s="44"/>
      <c r="N31" s="44"/>
      <c r="O31" s="44">
        <f>P31</f>
        <v>0</v>
      </c>
      <c r="P31" s="31"/>
      <c r="Q31" s="48">
        <v>12</v>
      </c>
      <c r="R31" s="32"/>
    </row>
    <row r="32" spans="2:30" x14ac:dyDescent="0.2">
      <c r="B32" s="32"/>
      <c r="C32" s="48">
        <v>13</v>
      </c>
      <c r="D32" s="31"/>
      <c r="E32" s="44">
        <f>D32</f>
        <v>0</v>
      </c>
      <c r="F32" s="44"/>
      <c r="G32" s="44"/>
      <c r="H32" s="32"/>
      <c r="I32" s="73"/>
      <c r="J32" s="73"/>
      <c r="K32" s="73"/>
      <c r="L32" s="32"/>
      <c r="M32" s="44">
        <f>P32</f>
        <v>0</v>
      </c>
      <c r="N32" s="44"/>
      <c r="O32" s="44"/>
      <c r="P32" s="31"/>
      <c r="Q32" s="48">
        <v>14</v>
      </c>
      <c r="R32" s="32"/>
    </row>
    <row r="33" spans="2:21" x14ac:dyDescent="0.2">
      <c r="B33" s="32"/>
      <c r="C33" s="48">
        <v>15</v>
      </c>
      <c r="D33" s="31"/>
      <c r="E33" s="44"/>
      <c r="F33" s="44">
        <f>D33</f>
        <v>0</v>
      </c>
      <c r="G33" s="44"/>
      <c r="H33" s="32"/>
      <c r="I33" s="73"/>
      <c r="J33" s="73"/>
      <c r="K33" s="73"/>
      <c r="L33" s="32"/>
      <c r="M33" s="44"/>
      <c r="N33" s="44">
        <f>P33</f>
        <v>0</v>
      </c>
      <c r="O33" s="44"/>
      <c r="P33" s="31"/>
      <c r="Q33" s="48">
        <v>16</v>
      </c>
      <c r="R33" s="32"/>
    </row>
    <row r="34" spans="2:21" x14ac:dyDescent="0.2">
      <c r="B34" s="32"/>
      <c r="C34" s="48">
        <v>17</v>
      </c>
      <c r="D34" s="31"/>
      <c r="E34" s="44"/>
      <c r="F34" s="44"/>
      <c r="G34" s="44">
        <f>D34</f>
        <v>0</v>
      </c>
      <c r="H34" s="32"/>
      <c r="I34" s="73"/>
      <c r="J34" s="73"/>
      <c r="K34" s="73"/>
      <c r="L34" s="32"/>
      <c r="M34" s="44"/>
      <c r="N34" s="44"/>
      <c r="O34" s="44">
        <f>P34</f>
        <v>0</v>
      </c>
      <c r="P34" s="31"/>
      <c r="Q34" s="48">
        <v>18</v>
      </c>
      <c r="R34" s="32"/>
    </row>
    <row r="35" spans="2:21" x14ac:dyDescent="0.2">
      <c r="B35" s="32"/>
      <c r="C35" s="48">
        <v>19</v>
      </c>
      <c r="D35" s="31"/>
      <c r="E35" s="44">
        <f>D35</f>
        <v>0</v>
      </c>
      <c r="F35" s="44"/>
      <c r="G35" s="44"/>
      <c r="H35" s="32"/>
      <c r="I35" s="73"/>
      <c r="J35" s="73"/>
      <c r="K35" s="73"/>
      <c r="L35" s="32"/>
      <c r="M35" s="44">
        <f>P35</f>
        <v>0</v>
      </c>
      <c r="N35" s="44"/>
      <c r="O35" s="44"/>
      <c r="P35" s="31"/>
      <c r="Q35" s="48">
        <v>20</v>
      </c>
      <c r="R35" s="32"/>
    </row>
    <row r="36" spans="2:21" x14ac:dyDescent="0.2">
      <c r="B36" s="32"/>
      <c r="C36" s="48">
        <v>21</v>
      </c>
      <c r="D36" s="31"/>
      <c r="E36" s="44"/>
      <c r="F36" s="44">
        <f>D36</f>
        <v>0</v>
      </c>
      <c r="G36" s="44"/>
      <c r="H36" s="32"/>
      <c r="I36" s="73"/>
      <c r="J36" s="73"/>
      <c r="K36" s="73"/>
      <c r="L36" s="32"/>
      <c r="M36" s="44"/>
      <c r="N36" s="44">
        <f>P36</f>
        <v>0</v>
      </c>
      <c r="O36" s="44"/>
      <c r="P36" s="31"/>
      <c r="Q36" s="48">
        <v>22</v>
      </c>
      <c r="R36" s="32"/>
    </row>
    <row r="37" spans="2:21" x14ac:dyDescent="0.2">
      <c r="B37" s="32"/>
      <c r="C37" s="48">
        <v>23</v>
      </c>
      <c r="D37" s="31"/>
      <c r="E37" s="44"/>
      <c r="F37" s="44"/>
      <c r="G37" s="44">
        <f>D37</f>
        <v>0</v>
      </c>
      <c r="H37" s="32"/>
      <c r="I37" s="73"/>
      <c r="J37" s="73"/>
      <c r="K37" s="73"/>
      <c r="L37" s="32"/>
      <c r="M37" s="44"/>
      <c r="N37" s="44"/>
      <c r="O37" s="44">
        <f>P37</f>
        <v>0</v>
      </c>
      <c r="P37" s="31"/>
      <c r="Q37" s="48">
        <v>24</v>
      </c>
      <c r="R37" s="32"/>
    </row>
    <row r="38" spans="2:21" x14ac:dyDescent="0.2">
      <c r="B38" s="32"/>
      <c r="C38" s="48">
        <v>25</v>
      </c>
      <c r="D38" s="31"/>
      <c r="E38" s="44">
        <f>D38</f>
        <v>0</v>
      </c>
      <c r="F38" s="44"/>
      <c r="G38" s="44"/>
      <c r="H38" s="32"/>
      <c r="I38" s="73"/>
      <c r="J38" s="73"/>
      <c r="K38" s="73"/>
      <c r="L38" s="32"/>
      <c r="M38" s="44">
        <f>P38</f>
        <v>0</v>
      </c>
      <c r="N38" s="44"/>
      <c r="O38" s="44"/>
      <c r="P38" s="31"/>
      <c r="Q38" s="48">
        <v>26</v>
      </c>
      <c r="R38" s="32"/>
    </row>
    <row r="39" spans="2:21" x14ac:dyDescent="0.2">
      <c r="B39" s="32"/>
      <c r="C39" s="48">
        <v>27</v>
      </c>
      <c r="D39" s="31"/>
      <c r="E39" s="44"/>
      <c r="F39" s="44">
        <f>D39</f>
        <v>0</v>
      </c>
      <c r="G39" s="44"/>
      <c r="H39" s="32"/>
      <c r="I39" s="73"/>
      <c r="J39" s="73"/>
      <c r="K39" s="73"/>
      <c r="L39" s="32"/>
      <c r="M39" s="44"/>
      <c r="N39" s="44">
        <f>P39</f>
        <v>0</v>
      </c>
      <c r="O39" s="44"/>
      <c r="P39" s="31"/>
      <c r="Q39" s="48">
        <v>28</v>
      </c>
      <c r="R39" s="32"/>
      <c r="U39" s="51">
        <f>11*200*6</f>
        <v>13200</v>
      </c>
    </row>
    <row r="40" spans="2:21" x14ac:dyDescent="0.2">
      <c r="B40" s="32"/>
      <c r="C40" s="48">
        <v>29</v>
      </c>
      <c r="D40" s="31"/>
      <c r="E40" s="44"/>
      <c r="F40" s="44"/>
      <c r="G40" s="44">
        <f>D40</f>
        <v>0</v>
      </c>
      <c r="H40" s="32"/>
      <c r="I40" s="73"/>
      <c r="J40" s="73"/>
      <c r="K40" s="73"/>
      <c r="L40" s="32"/>
      <c r="M40" s="44"/>
      <c r="N40" s="44"/>
      <c r="O40" s="44">
        <f>P40</f>
        <v>0</v>
      </c>
      <c r="P40" s="31"/>
      <c r="Q40" s="48">
        <v>30</v>
      </c>
      <c r="R40" s="32"/>
    </row>
    <row r="41" spans="2:21" x14ac:dyDescent="0.2">
      <c r="B41" s="32"/>
      <c r="C41" s="48">
        <v>31</v>
      </c>
      <c r="D41" s="31"/>
      <c r="E41" s="44">
        <f>D41</f>
        <v>0</v>
      </c>
      <c r="F41" s="44"/>
      <c r="G41" s="44"/>
      <c r="H41" s="32"/>
      <c r="I41" s="73"/>
      <c r="J41" s="73"/>
      <c r="K41" s="73"/>
      <c r="L41" s="32"/>
      <c r="M41" s="44">
        <f>P41</f>
        <v>0</v>
      </c>
      <c r="N41" s="44"/>
      <c r="O41" s="44"/>
      <c r="P41" s="33"/>
      <c r="Q41" s="48">
        <v>32</v>
      </c>
      <c r="R41" s="32"/>
    </row>
    <row r="42" spans="2:21" x14ac:dyDescent="0.2">
      <c r="B42" s="32"/>
      <c r="C42" s="48">
        <v>33</v>
      </c>
      <c r="D42" s="31"/>
      <c r="E42" s="44"/>
      <c r="F42" s="44">
        <f>D42</f>
        <v>0</v>
      </c>
      <c r="G42" s="44"/>
      <c r="H42" s="32"/>
      <c r="I42" s="73"/>
      <c r="J42" s="73"/>
      <c r="K42" s="73"/>
      <c r="L42" s="32"/>
      <c r="M42" s="44"/>
      <c r="N42" s="44">
        <f>P42</f>
        <v>0</v>
      </c>
      <c r="O42" s="44"/>
      <c r="P42" s="33"/>
      <c r="Q42" s="48">
        <v>34</v>
      </c>
      <c r="R42" s="32"/>
    </row>
    <row r="43" spans="2:21" x14ac:dyDescent="0.2">
      <c r="B43" s="32"/>
      <c r="C43" s="48">
        <v>35</v>
      </c>
      <c r="D43" s="31"/>
      <c r="E43" s="44"/>
      <c r="F43" s="44"/>
      <c r="G43" s="44">
        <f>D43</f>
        <v>0</v>
      </c>
      <c r="H43" s="32"/>
      <c r="I43" s="73"/>
      <c r="J43" s="73"/>
      <c r="K43" s="73"/>
      <c r="L43" s="32"/>
      <c r="M43" s="44"/>
      <c r="N43" s="44"/>
      <c r="O43" s="44">
        <f>P43</f>
        <v>0</v>
      </c>
      <c r="P43" s="33"/>
      <c r="Q43" s="48">
        <v>36</v>
      </c>
      <c r="R43" s="32"/>
    </row>
    <row r="44" spans="2:21" x14ac:dyDescent="0.2">
      <c r="B44" s="32"/>
      <c r="C44" s="48">
        <v>37</v>
      </c>
      <c r="D44" s="31"/>
      <c r="E44" s="44">
        <f>D44</f>
        <v>0</v>
      </c>
      <c r="F44" s="44"/>
      <c r="G44" s="44"/>
      <c r="H44" s="32"/>
      <c r="I44" s="73"/>
      <c r="J44" s="73"/>
      <c r="K44" s="73"/>
      <c r="L44" s="32"/>
      <c r="M44" s="44">
        <f>P44</f>
        <v>0</v>
      </c>
      <c r="N44" s="44"/>
      <c r="O44" s="44"/>
      <c r="P44" s="33"/>
      <c r="Q44" s="48">
        <v>38</v>
      </c>
      <c r="R44" s="32"/>
    </row>
    <row r="45" spans="2:21" x14ac:dyDescent="0.2">
      <c r="B45" s="32"/>
      <c r="C45" s="48">
        <v>39</v>
      </c>
      <c r="D45" s="33"/>
      <c r="E45" s="44"/>
      <c r="F45" s="44">
        <f>D45</f>
        <v>0</v>
      </c>
      <c r="G45" s="44"/>
      <c r="H45" s="32"/>
      <c r="I45" s="73"/>
      <c r="J45" s="73"/>
      <c r="K45" s="73"/>
      <c r="L45" s="32"/>
      <c r="M45" s="44"/>
      <c r="N45" s="44">
        <f>P45</f>
        <v>0</v>
      </c>
      <c r="O45" s="44"/>
      <c r="P45" s="33"/>
      <c r="Q45" s="48">
        <v>40</v>
      </c>
      <c r="R45" s="32"/>
    </row>
    <row r="46" spans="2:21" x14ac:dyDescent="0.2">
      <c r="B46" s="32"/>
      <c r="C46" s="48">
        <v>41</v>
      </c>
      <c r="D46" s="33"/>
      <c r="E46" s="44"/>
      <c r="F46" s="44"/>
      <c r="G46" s="44">
        <f>D46</f>
        <v>0</v>
      </c>
      <c r="H46" s="32"/>
      <c r="I46" s="73"/>
      <c r="J46" s="73"/>
      <c r="K46" s="73"/>
      <c r="L46" s="32"/>
      <c r="M46" s="44"/>
      <c r="N46" s="44"/>
      <c r="O46" s="44">
        <f>P46</f>
        <v>0</v>
      </c>
      <c r="P46" s="33"/>
      <c r="Q46" s="48">
        <v>42</v>
      </c>
      <c r="R46" s="32"/>
    </row>
    <row r="47" spans="2:21" x14ac:dyDescent="0.2">
      <c r="B47" s="55"/>
      <c r="C47" s="2"/>
      <c r="D47" s="56"/>
      <c r="E47" s="54">
        <f>SUM(E26:E46)</f>
        <v>16678.666666666668</v>
      </c>
      <c r="F47" s="54">
        <f>SUM(F26:F46)</f>
        <v>4498.666666666667</v>
      </c>
      <c r="G47" s="54">
        <f>SUM(G26:G46)</f>
        <v>4498.666666666667</v>
      </c>
      <c r="H47" s="56"/>
      <c r="L47" s="56"/>
      <c r="M47" s="54">
        <f>SUM(M26:M46)</f>
        <v>0</v>
      </c>
      <c r="N47" s="54">
        <f>SUM(N26:N46)</f>
        <v>0</v>
      </c>
      <c r="O47" s="54">
        <f>SUM(O26:O46)</f>
        <v>0</v>
      </c>
      <c r="P47" s="2"/>
      <c r="Q47" s="56"/>
      <c r="R47" s="74"/>
    </row>
    <row r="48" spans="2:21" x14ac:dyDescent="0.2">
      <c r="B48" s="57"/>
      <c r="C48" s="58" t="s">
        <v>29</v>
      </c>
      <c r="D48" s="54">
        <f>SUM(D26:D46)</f>
        <v>25676</v>
      </c>
      <c r="M48" s="51"/>
      <c r="P48" s="54">
        <f>SUM(P26:P46)</f>
        <v>0</v>
      </c>
      <c r="Q48" s="59" t="s">
        <v>29</v>
      </c>
      <c r="R48" s="75"/>
    </row>
    <row r="49" spans="1:21" x14ac:dyDescent="0.2">
      <c r="B49" s="57"/>
      <c r="C49" s="60"/>
      <c r="I49" s="60"/>
      <c r="J49" s="60"/>
      <c r="K49" s="60"/>
      <c r="Q49" s="1"/>
      <c r="R49" s="75"/>
    </row>
    <row r="50" spans="1:21" x14ac:dyDescent="0.2">
      <c r="B50" s="77" t="s">
        <v>87</v>
      </c>
      <c r="C50" s="54">
        <f>+D48+P48</f>
        <v>25676</v>
      </c>
      <c r="I50" s="83"/>
      <c r="J50" s="83"/>
      <c r="K50" s="83"/>
      <c r="M50" s="51"/>
      <c r="P50" s="1"/>
      <c r="R50" s="75"/>
    </row>
    <row r="51" spans="1:21" x14ac:dyDescent="0.2">
      <c r="B51" s="77" t="s">
        <v>93</v>
      </c>
      <c r="C51" s="54">
        <f>+'K REG'!$A$5</f>
        <v>381.05117766515298</v>
      </c>
      <c r="I51" s="83"/>
      <c r="J51" s="83"/>
      <c r="K51" s="83"/>
      <c r="M51" s="51"/>
      <c r="P51" s="1"/>
      <c r="R51" s="75"/>
    </row>
    <row r="52" spans="1:21" x14ac:dyDescent="0.2">
      <c r="B52" s="77" t="s">
        <v>86</v>
      </c>
      <c r="C52" s="59">
        <f>+C50/(SQRT(3)*C51)</f>
        <v>38.903030303030313</v>
      </c>
      <c r="R52" s="75"/>
    </row>
    <row r="53" spans="1:21" x14ac:dyDescent="0.2">
      <c r="B53" s="77" t="s">
        <v>89</v>
      </c>
      <c r="C53" s="54">
        <f>+E47+M47</f>
        <v>16678.666666666668</v>
      </c>
      <c r="D53" s="82">
        <f>+(C53-MAX(C53:C55))/MAX(C53:C55)</f>
        <v>0</v>
      </c>
      <c r="R53" s="75"/>
    </row>
    <row r="54" spans="1:21" x14ac:dyDescent="0.2">
      <c r="B54" s="77" t="s">
        <v>90</v>
      </c>
      <c r="C54" s="54">
        <f>+F47+N47</f>
        <v>4498.666666666667</v>
      </c>
      <c r="D54" s="82">
        <f>+(C54-MAX(C53:C55))/MAX(C53:C55)</f>
        <v>-0.73027420257414655</v>
      </c>
      <c r="R54" s="75"/>
    </row>
    <row r="55" spans="1:21" x14ac:dyDescent="0.2">
      <c r="B55" s="77" t="s">
        <v>91</v>
      </c>
      <c r="C55" s="54">
        <f>+G47+O47</f>
        <v>4498.666666666667</v>
      </c>
      <c r="D55" s="82">
        <f>+(C55-MAX(C53:C55))/MAX(C53:C55)</f>
        <v>-0.73027420257414655</v>
      </c>
      <c r="R55" s="75"/>
    </row>
    <row r="56" spans="1:21" x14ac:dyDescent="0.2">
      <c r="B56" s="78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80"/>
      <c r="N56" s="79"/>
      <c r="O56" s="79"/>
      <c r="P56" s="79"/>
      <c r="Q56" s="79"/>
      <c r="R56" s="81"/>
    </row>
    <row r="57" spans="1:21" x14ac:dyDescent="0.2">
      <c r="D57" s="90"/>
      <c r="P57" s="76"/>
    </row>
    <row r="58" spans="1:21" ht="11.25" customHeight="1" x14ac:dyDescent="0.2">
      <c r="A58" s="40"/>
      <c r="B58" s="147" t="s">
        <v>81</v>
      </c>
      <c r="C58" s="88" t="s">
        <v>117</v>
      </c>
      <c r="D58" s="88" t="s">
        <v>118</v>
      </c>
      <c r="E58" s="88"/>
      <c r="F58" s="88"/>
      <c r="G58" s="88"/>
      <c r="H58" s="147" t="s">
        <v>28</v>
      </c>
      <c r="I58" s="147" t="s">
        <v>95</v>
      </c>
      <c r="J58" s="147" t="s">
        <v>96</v>
      </c>
      <c r="K58" s="147" t="s">
        <v>31</v>
      </c>
      <c r="L58" s="147" t="s">
        <v>73</v>
      </c>
      <c r="M58" s="147" t="s">
        <v>74</v>
      </c>
      <c r="N58" s="147" t="s">
        <v>30</v>
      </c>
      <c r="O58" s="149" t="s">
        <v>54</v>
      </c>
      <c r="P58" s="149"/>
      <c r="Q58" s="149"/>
      <c r="R58" s="84"/>
      <c r="S58" s="40"/>
      <c r="T58" s="40"/>
      <c r="U58" s="40"/>
    </row>
    <row r="59" spans="1:21" x14ac:dyDescent="0.2">
      <c r="A59" s="40"/>
      <c r="B59" s="147"/>
      <c r="C59" s="42">
        <v>225000</v>
      </c>
      <c r="D59" s="45">
        <v>75000</v>
      </c>
      <c r="E59" s="42">
        <v>74500</v>
      </c>
      <c r="F59" s="45">
        <v>5416</v>
      </c>
      <c r="G59" s="42">
        <v>150000</v>
      </c>
      <c r="H59" s="147"/>
      <c r="I59" s="147"/>
      <c r="J59" s="147"/>
      <c r="K59" s="147"/>
      <c r="L59" s="147"/>
      <c r="M59" s="147"/>
      <c r="N59" s="147"/>
      <c r="O59" s="89" t="s">
        <v>92</v>
      </c>
      <c r="P59" s="89" t="s">
        <v>55</v>
      </c>
      <c r="Q59" s="89" t="s">
        <v>56</v>
      </c>
      <c r="S59" s="40"/>
      <c r="T59" s="40"/>
      <c r="U59" s="40"/>
    </row>
    <row r="60" spans="1:21" x14ac:dyDescent="0.2">
      <c r="A60" s="39"/>
      <c r="B60" s="49" t="s">
        <v>119</v>
      </c>
      <c r="C60" s="41">
        <v>1</v>
      </c>
      <c r="D60" s="41"/>
      <c r="E60" s="41"/>
      <c r="F60" s="41"/>
      <c r="G60" s="41"/>
      <c r="H60" s="41">
        <f>+$C$59*C60+$D$59*D60+$E$59*E60+$F$59*F60+$G$59*G60</f>
        <v>225000</v>
      </c>
      <c r="I60" s="41">
        <v>3</v>
      </c>
      <c r="J60" s="41">
        <v>220</v>
      </c>
      <c r="K60" s="52">
        <f>+H60/((IF(I60=3,SQRT(3),1))*J60)</f>
        <v>590.47186621666276</v>
      </c>
      <c r="L60" s="52">
        <f>+K60*1.25</f>
        <v>738.08983277082848</v>
      </c>
      <c r="M60" s="52">
        <f>+K60</f>
        <v>590.47186621666276</v>
      </c>
      <c r="N60" s="53" t="s">
        <v>121</v>
      </c>
      <c r="O60" s="53" t="s">
        <v>124</v>
      </c>
      <c r="P60" s="53"/>
      <c r="Q60" s="53"/>
      <c r="R60" s="85"/>
      <c r="S60" s="39"/>
      <c r="T60" s="39"/>
      <c r="U60" s="39"/>
    </row>
    <row r="61" spans="1:21" x14ac:dyDescent="0.2">
      <c r="A61" s="39"/>
      <c r="B61" s="49" t="s">
        <v>120</v>
      </c>
      <c r="C61" s="41"/>
      <c r="D61" s="41"/>
      <c r="E61" s="41"/>
      <c r="F61" s="41"/>
      <c r="G61" s="41"/>
      <c r="H61" s="41">
        <f>+$C$59*C61+$D$59*D61+$E$59*E61+$F$59*F61+$G$59*G61</f>
        <v>0</v>
      </c>
      <c r="I61" s="41">
        <v>3</v>
      </c>
      <c r="J61" s="41">
        <v>220</v>
      </c>
      <c r="K61" s="52">
        <f>+H61/((IF(I61=3,SQRT(3),1))*J61)</f>
        <v>0</v>
      </c>
      <c r="L61" s="52">
        <f>+K61*1.25</f>
        <v>0</v>
      </c>
      <c r="M61" s="52">
        <f>+K61</f>
        <v>0</v>
      </c>
      <c r="N61" s="53" t="s">
        <v>122</v>
      </c>
      <c r="O61" s="53">
        <v>250</v>
      </c>
      <c r="P61" s="53">
        <v>250</v>
      </c>
      <c r="Q61" s="53"/>
      <c r="R61" s="85"/>
      <c r="S61" s="39"/>
      <c r="T61" s="39"/>
      <c r="U61" s="39"/>
    </row>
    <row r="62" spans="1:21" x14ac:dyDescent="0.2">
      <c r="A62" s="39"/>
      <c r="B62" s="49"/>
      <c r="C62" s="41"/>
      <c r="D62" s="41"/>
      <c r="E62" s="41"/>
      <c r="F62" s="41"/>
      <c r="G62" s="41"/>
      <c r="H62" s="41">
        <f>+$C$59*C62+$D$59*D62+$E$59*E62+$F$59*F62+$G$59*G62</f>
        <v>0</v>
      </c>
      <c r="I62" s="41">
        <v>3</v>
      </c>
      <c r="J62" s="41">
        <v>220</v>
      </c>
      <c r="K62" s="52">
        <f>+H62/((IF(I62=3,SQRT(3),1))*J62)</f>
        <v>0</v>
      </c>
      <c r="L62" s="52">
        <f>+K62*1.25</f>
        <v>0</v>
      </c>
      <c r="M62" s="52">
        <f>+K62</f>
        <v>0</v>
      </c>
      <c r="N62" s="53"/>
      <c r="O62" s="53"/>
      <c r="P62" s="53"/>
      <c r="Q62" s="53"/>
      <c r="R62" s="85"/>
      <c r="S62" s="39"/>
      <c r="T62" s="39"/>
      <c r="U62" s="39"/>
    </row>
    <row r="63" spans="1:21" x14ac:dyDescent="0.2">
      <c r="A63" s="39"/>
      <c r="B63" s="49"/>
      <c r="C63" s="41"/>
      <c r="D63" s="41"/>
      <c r="E63" s="41"/>
      <c r="F63" s="41"/>
      <c r="G63" s="41"/>
      <c r="H63" s="41">
        <f>+$C$59*C63+$D$59*D63+$E$59*E63+$F$59*F63+$G$59*G63</f>
        <v>0</v>
      </c>
      <c r="I63" s="41">
        <v>3</v>
      </c>
      <c r="J63" s="41">
        <v>220</v>
      </c>
      <c r="K63" s="52">
        <f t="shared" ref="K63:K74" si="4">+H63/((IF(I63=3,SQRT(3),1))*J63)</f>
        <v>0</v>
      </c>
      <c r="L63" s="52">
        <f t="shared" ref="L63:L74" si="5">+K63*1.25</f>
        <v>0</v>
      </c>
      <c r="M63" s="52">
        <f t="shared" ref="M63:M74" si="6">+K63</f>
        <v>0</v>
      </c>
      <c r="N63" s="53"/>
      <c r="O63" s="53"/>
      <c r="P63" s="53"/>
      <c r="Q63" s="53"/>
      <c r="R63" s="85"/>
      <c r="S63" s="39"/>
      <c r="T63" s="39"/>
      <c r="U63" s="39"/>
    </row>
    <row r="64" spans="1:21" s="67" customFormat="1" x14ac:dyDescent="0.2">
      <c r="A64" s="63"/>
      <c r="B64" s="64"/>
      <c r="C64" s="65"/>
      <c r="D64" s="65"/>
      <c r="E64" s="65"/>
      <c r="F64" s="65"/>
      <c r="G64" s="65">
        <v>1</v>
      </c>
      <c r="H64" s="41">
        <f>+$C$59*C64+$D$59*D64+$E$59*E64+$F$59*F64+$G$59*G64</f>
        <v>150000</v>
      </c>
      <c r="I64" s="41">
        <v>3</v>
      </c>
      <c r="J64" s="41">
        <v>220</v>
      </c>
      <c r="K64" s="52">
        <f t="shared" si="4"/>
        <v>393.64791081110849</v>
      </c>
      <c r="L64" s="52">
        <f t="shared" si="5"/>
        <v>492.0598885138856</v>
      </c>
      <c r="M64" s="52">
        <f t="shared" si="6"/>
        <v>393.64791081110849</v>
      </c>
      <c r="N64" s="66"/>
      <c r="O64" s="66"/>
      <c r="P64" s="66"/>
      <c r="Q64" s="66"/>
      <c r="R64" s="86"/>
      <c r="S64" s="63"/>
      <c r="T64" s="63"/>
      <c r="U64" s="63"/>
    </row>
    <row r="65" spans="1:21" s="67" customFormat="1" x14ac:dyDescent="0.2">
      <c r="A65" s="63"/>
      <c r="B65" s="64"/>
      <c r="C65" s="65"/>
      <c r="D65" s="65"/>
      <c r="E65" s="65"/>
      <c r="F65" s="65"/>
      <c r="G65" s="65"/>
      <c r="H65" s="65"/>
      <c r="I65" s="41">
        <v>3</v>
      </c>
      <c r="J65" s="41">
        <v>220</v>
      </c>
      <c r="K65" s="52">
        <f t="shared" si="4"/>
        <v>0</v>
      </c>
      <c r="L65" s="52">
        <f t="shared" si="5"/>
        <v>0</v>
      </c>
      <c r="M65" s="52">
        <f t="shared" si="6"/>
        <v>0</v>
      </c>
      <c r="N65" s="66"/>
      <c r="O65" s="66"/>
      <c r="P65" s="66"/>
      <c r="Q65" s="66"/>
      <c r="R65" s="86"/>
      <c r="S65" s="63"/>
      <c r="T65" s="63"/>
      <c r="U65" s="63"/>
    </row>
    <row r="66" spans="1:21" x14ac:dyDescent="0.2">
      <c r="A66" s="39"/>
      <c r="B66" s="49"/>
      <c r="C66" s="41"/>
      <c r="D66" s="41"/>
      <c r="E66" s="41"/>
      <c r="F66" s="41"/>
      <c r="G66" s="41"/>
      <c r="H66" s="41"/>
      <c r="I66" s="41">
        <v>3</v>
      </c>
      <c r="J66" s="41">
        <v>220</v>
      </c>
      <c r="K66" s="52">
        <f t="shared" si="4"/>
        <v>0</v>
      </c>
      <c r="L66" s="52">
        <f t="shared" si="5"/>
        <v>0</v>
      </c>
      <c r="M66" s="52">
        <f t="shared" si="6"/>
        <v>0</v>
      </c>
      <c r="N66" s="53"/>
      <c r="O66" s="53"/>
      <c r="P66" s="53"/>
      <c r="Q66" s="53"/>
      <c r="R66" s="85"/>
      <c r="S66" s="39"/>
      <c r="T66" s="39"/>
      <c r="U66" s="39"/>
    </row>
    <row r="67" spans="1:21" s="71" customFormat="1" x14ac:dyDescent="0.2">
      <c r="A67" s="68"/>
      <c r="B67" s="69"/>
      <c r="C67" s="62"/>
      <c r="D67" s="62"/>
      <c r="E67" s="62"/>
      <c r="F67" s="62"/>
      <c r="G67" s="62"/>
      <c r="H67" s="62"/>
      <c r="I67" s="41">
        <v>3</v>
      </c>
      <c r="J67" s="41">
        <v>220</v>
      </c>
      <c r="K67" s="52">
        <f t="shared" si="4"/>
        <v>0</v>
      </c>
      <c r="L67" s="52">
        <f t="shared" si="5"/>
        <v>0</v>
      </c>
      <c r="M67" s="52">
        <f t="shared" si="6"/>
        <v>0</v>
      </c>
      <c r="N67" s="70"/>
      <c r="O67" s="70"/>
      <c r="P67" s="70"/>
      <c r="Q67" s="70"/>
      <c r="R67" s="87"/>
      <c r="S67" s="68"/>
      <c r="T67" s="68"/>
      <c r="U67" s="68"/>
    </row>
    <row r="68" spans="1:21" x14ac:dyDescent="0.2">
      <c r="A68" s="39"/>
      <c r="B68" s="49"/>
      <c r="C68" s="41"/>
      <c r="D68" s="41"/>
      <c r="E68" s="41"/>
      <c r="F68" s="41"/>
      <c r="G68" s="41"/>
      <c r="H68" s="41"/>
      <c r="I68" s="41">
        <v>3</v>
      </c>
      <c r="J68" s="41">
        <v>220</v>
      </c>
      <c r="K68" s="52">
        <f t="shared" si="4"/>
        <v>0</v>
      </c>
      <c r="L68" s="52">
        <f t="shared" si="5"/>
        <v>0</v>
      </c>
      <c r="M68" s="52">
        <f t="shared" si="6"/>
        <v>0</v>
      </c>
      <c r="N68" s="53"/>
      <c r="O68" s="53"/>
      <c r="P68" s="53"/>
      <c r="Q68" s="53"/>
      <c r="R68" s="85"/>
      <c r="S68" s="39"/>
      <c r="T68" s="39"/>
      <c r="U68" s="39"/>
    </row>
    <row r="69" spans="1:21" x14ac:dyDescent="0.2">
      <c r="A69" s="39"/>
      <c r="B69" s="49"/>
      <c r="C69" s="41"/>
      <c r="D69" s="41"/>
      <c r="E69" s="41"/>
      <c r="F69" s="41"/>
      <c r="G69" s="41"/>
      <c r="H69" s="41"/>
      <c r="I69" s="41">
        <v>3</v>
      </c>
      <c r="J69" s="41">
        <v>220</v>
      </c>
      <c r="K69" s="52">
        <f t="shared" si="4"/>
        <v>0</v>
      </c>
      <c r="L69" s="52">
        <f t="shared" si="5"/>
        <v>0</v>
      </c>
      <c r="M69" s="52">
        <f t="shared" si="6"/>
        <v>0</v>
      </c>
      <c r="N69" s="53"/>
      <c r="O69" s="53"/>
      <c r="P69" s="53"/>
      <c r="Q69" s="53"/>
      <c r="R69" s="85"/>
      <c r="S69" s="39"/>
      <c r="T69" s="39"/>
      <c r="U69" s="39"/>
    </row>
    <row r="70" spans="1:21" x14ac:dyDescent="0.2">
      <c r="B70" s="49"/>
      <c r="C70" s="41"/>
      <c r="D70" s="41"/>
      <c r="E70" s="41"/>
      <c r="F70" s="41"/>
      <c r="G70" s="41"/>
      <c r="H70" s="41"/>
      <c r="I70" s="41">
        <v>3</v>
      </c>
      <c r="J70" s="41">
        <v>220</v>
      </c>
      <c r="K70" s="52">
        <f t="shared" si="4"/>
        <v>0</v>
      </c>
      <c r="L70" s="52">
        <f t="shared" si="5"/>
        <v>0</v>
      </c>
      <c r="M70" s="52">
        <f t="shared" si="6"/>
        <v>0</v>
      </c>
      <c r="N70" s="53"/>
      <c r="O70" s="53"/>
      <c r="P70" s="53"/>
      <c r="Q70" s="53"/>
      <c r="R70" s="85"/>
      <c r="S70" s="39"/>
    </row>
    <row r="71" spans="1:21" x14ac:dyDescent="0.2">
      <c r="B71" s="49"/>
      <c r="C71" s="41"/>
      <c r="D71" s="41"/>
      <c r="E71" s="41"/>
      <c r="F71" s="41"/>
      <c r="G71" s="41"/>
      <c r="H71" s="41"/>
      <c r="I71" s="41">
        <v>3</v>
      </c>
      <c r="J71" s="41">
        <v>220</v>
      </c>
      <c r="K71" s="52">
        <f t="shared" si="4"/>
        <v>0</v>
      </c>
      <c r="L71" s="52">
        <f t="shared" si="5"/>
        <v>0</v>
      </c>
      <c r="M71" s="52">
        <f t="shared" si="6"/>
        <v>0</v>
      </c>
      <c r="N71" s="53"/>
      <c r="O71" s="53"/>
      <c r="P71" s="53"/>
      <c r="Q71" s="53"/>
      <c r="R71" s="85"/>
      <c r="S71" s="39"/>
    </row>
    <row r="72" spans="1:21" x14ac:dyDescent="0.2">
      <c r="B72" s="49"/>
      <c r="C72" s="41"/>
      <c r="D72" s="41"/>
      <c r="E72" s="41"/>
      <c r="F72" s="41"/>
      <c r="G72" s="41"/>
      <c r="H72" s="41"/>
      <c r="I72" s="41">
        <v>3</v>
      </c>
      <c r="J72" s="41">
        <v>220</v>
      </c>
      <c r="K72" s="52">
        <f t="shared" si="4"/>
        <v>0</v>
      </c>
      <c r="L72" s="52">
        <f t="shared" si="5"/>
        <v>0</v>
      </c>
      <c r="M72" s="52">
        <f t="shared" si="6"/>
        <v>0</v>
      </c>
      <c r="N72" s="53"/>
      <c r="O72" s="53"/>
      <c r="P72" s="53"/>
      <c r="Q72" s="53"/>
      <c r="R72" s="85"/>
      <c r="S72" s="39"/>
    </row>
    <row r="73" spans="1:21" x14ac:dyDescent="0.2">
      <c r="B73" s="49" t="s">
        <v>76</v>
      </c>
      <c r="C73" s="41"/>
      <c r="D73" s="41"/>
      <c r="E73" s="41"/>
      <c r="F73" s="41"/>
      <c r="G73" s="41"/>
      <c r="H73" s="41">
        <f>SUM(H60:H72)*0.1</f>
        <v>37500</v>
      </c>
      <c r="I73" s="41">
        <v>3</v>
      </c>
      <c r="J73" s="41">
        <v>220</v>
      </c>
      <c r="K73" s="52">
        <f t="shared" si="4"/>
        <v>98.411977702777122</v>
      </c>
      <c r="L73" s="52">
        <f t="shared" si="5"/>
        <v>123.0149721284714</v>
      </c>
      <c r="M73" s="52">
        <f t="shared" si="6"/>
        <v>98.411977702777122</v>
      </c>
      <c r="N73" s="53"/>
      <c r="O73" s="53"/>
      <c r="P73" s="53"/>
      <c r="Q73" s="53"/>
      <c r="R73" s="85"/>
      <c r="S73" s="39"/>
    </row>
    <row r="74" spans="1:21" x14ac:dyDescent="0.2">
      <c r="B74" s="50" t="s">
        <v>75</v>
      </c>
      <c r="C74" s="43"/>
      <c r="D74" s="43"/>
      <c r="E74" s="43"/>
      <c r="F74" s="43"/>
      <c r="G74" s="43"/>
      <c r="H74" s="47">
        <f>SUM(H60:H73)</f>
        <v>412500</v>
      </c>
      <c r="I74" s="41">
        <v>3</v>
      </c>
      <c r="J74" s="41">
        <v>220</v>
      </c>
      <c r="K74" s="52">
        <f t="shared" si="4"/>
        <v>1082.5317547305483</v>
      </c>
      <c r="L74" s="52">
        <f t="shared" si="5"/>
        <v>1353.1646934131854</v>
      </c>
      <c r="M74" s="52">
        <f t="shared" si="6"/>
        <v>1082.5317547305483</v>
      </c>
      <c r="N74" s="53"/>
      <c r="O74" s="53"/>
      <c r="P74" s="53"/>
      <c r="Q74" s="53"/>
      <c r="R74" s="85"/>
      <c r="S74" s="39"/>
    </row>
    <row r="76" spans="1:21" x14ac:dyDescent="0.2">
      <c r="B76" s="148" t="s">
        <v>80</v>
      </c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46"/>
    </row>
    <row r="77" spans="1:21" ht="12.75" customHeight="1" x14ac:dyDescent="0.2">
      <c r="B77" s="148" t="s">
        <v>34</v>
      </c>
      <c r="C77" s="148"/>
      <c r="D77" s="148" t="s">
        <v>33</v>
      </c>
      <c r="E77" s="148" t="s">
        <v>27</v>
      </c>
      <c r="F77" s="148"/>
      <c r="G77" s="148"/>
      <c r="H77" s="150" t="s">
        <v>32</v>
      </c>
      <c r="I77" s="151" t="s">
        <v>85</v>
      </c>
      <c r="J77" s="152"/>
      <c r="K77" s="153"/>
      <c r="L77" s="150" t="s">
        <v>32</v>
      </c>
      <c r="M77" s="148" t="s">
        <v>27</v>
      </c>
      <c r="N77" s="148"/>
      <c r="O77" s="148"/>
      <c r="P77" s="148" t="s">
        <v>33</v>
      </c>
      <c r="Q77" s="148" t="s">
        <v>34</v>
      </c>
      <c r="R77" s="148"/>
    </row>
    <row r="78" spans="1:21" x14ac:dyDescent="0.2">
      <c r="B78" s="148"/>
      <c r="C78" s="148"/>
      <c r="D78" s="148"/>
      <c r="E78" s="72" t="s">
        <v>7</v>
      </c>
      <c r="F78" s="72" t="s">
        <v>13</v>
      </c>
      <c r="G78" s="72" t="s">
        <v>14</v>
      </c>
      <c r="H78" s="148"/>
      <c r="I78" s="154"/>
      <c r="J78" s="155"/>
      <c r="K78" s="156"/>
      <c r="L78" s="148"/>
      <c r="M78" s="72" t="s">
        <v>7</v>
      </c>
      <c r="N78" s="72" t="s">
        <v>13</v>
      </c>
      <c r="O78" s="72" t="s">
        <v>14</v>
      </c>
      <c r="P78" s="148"/>
      <c r="Q78" s="148"/>
      <c r="R78" s="148"/>
    </row>
    <row r="79" spans="1:21" x14ac:dyDescent="0.2">
      <c r="B79" s="32"/>
      <c r="C79" s="48">
        <v>1</v>
      </c>
      <c r="D79" s="31"/>
      <c r="E79" s="44">
        <f>D79</f>
        <v>0</v>
      </c>
      <c r="F79" s="44"/>
      <c r="G79" s="44"/>
      <c r="H79" s="32"/>
      <c r="I79" s="73"/>
      <c r="J79" s="73"/>
      <c r="K79" s="73"/>
      <c r="L79" s="32"/>
      <c r="M79" s="44">
        <f>P79</f>
        <v>0</v>
      </c>
      <c r="N79" s="44"/>
      <c r="O79" s="44"/>
      <c r="P79" s="33"/>
      <c r="Q79" s="48">
        <v>2</v>
      </c>
      <c r="R79" s="32"/>
    </row>
    <row r="80" spans="1:21" x14ac:dyDescent="0.2">
      <c r="B80" s="32"/>
      <c r="C80" s="48">
        <v>3</v>
      </c>
      <c r="D80" s="31"/>
      <c r="E80" s="44"/>
      <c r="F80" s="44">
        <f>D80</f>
        <v>0</v>
      </c>
      <c r="G80" s="44"/>
      <c r="H80" s="32"/>
      <c r="I80" s="73"/>
      <c r="J80" s="73"/>
      <c r="K80" s="73"/>
      <c r="L80" s="32"/>
      <c r="M80" s="44"/>
      <c r="N80" s="44">
        <f>P80</f>
        <v>0</v>
      </c>
      <c r="O80" s="44"/>
      <c r="P80" s="33"/>
      <c r="Q80" s="48">
        <v>4</v>
      </c>
      <c r="R80" s="32"/>
    </row>
    <row r="81" spans="2:18" x14ac:dyDescent="0.2">
      <c r="B81" s="32"/>
      <c r="C81" s="48">
        <v>5</v>
      </c>
      <c r="D81" s="31"/>
      <c r="E81" s="44"/>
      <c r="F81" s="44"/>
      <c r="G81" s="44">
        <f>D81</f>
        <v>0</v>
      </c>
      <c r="H81" s="32"/>
      <c r="I81" s="73"/>
      <c r="J81" s="73"/>
      <c r="K81" s="73"/>
      <c r="L81" s="32"/>
      <c r="M81" s="44"/>
      <c r="N81" s="44"/>
      <c r="O81" s="44">
        <f>P81</f>
        <v>0</v>
      </c>
      <c r="P81" s="33"/>
      <c r="Q81" s="48">
        <v>6</v>
      </c>
      <c r="R81" s="32"/>
    </row>
    <row r="82" spans="2:18" x14ac:dyDescent="0.2">
      <c r="B82" s="32"/>
      <c r="C82" s="48">
        <v>7</v>
      </c>
      <c r="D82" s="31"/>
      <c r="E82" s="44">
        <f>D82</f>
        <v>0</v>
      </c>
      <c r="F82" s="44"/>
      <c r="G82" s="44"/>
      <c r="H82" s="32"/>
      <c r="I82" s="73"/>
      <c r="J82" s="73"/>
      <c r="K82" s="73"/>
      <c r="L82" s="32"/>
      <c r="M82" s="44">
        <f>P82</f>
        <v>0</v>
      </c>
      <c r="N82" s="44"/>
      <c r="O82" s="44"/>
      <c r="P82" s="31"/>
      <c r="Q82" s="48">
        <v>8</v>
      </c>
      <c r="R82" s="32"/>
    </row>
    <row r="83" spans="2:18" x14ac:dyDescent="0.2">
      <c r="B83" s="32"/>
      <c r="C83" s="48">
        <v>9</v>
      </c>
      <c r="D83" s="31"/>
      <c r="E83" s="44"/>
      <c r="F83" s="44">
        <f>D83</f>
        <v>0</v>
      </c>
      <c r="G83" s="44"/>
      <c r="H83" s="32"/>
      <c r="I83" s="73"/>
      <c r="J83" s="73"/>
      <c r="K83" s="73"/>
      <c r="L83" s="32"/>
      <c r="M83" s="44"/>
      <c r="N83" s="44">
        <f>P83</f>
        <v>0</v>
      </c>
      <c r="O83" s="44"/>
      <c r="P83" s="31"/>
      <c r="Q83" s="48">
        <v>10</v>
      </c>
      <c r="R83" s="32"/>
    </row>
    <row r="84" spans="2:18" x14ac:dyDescent="0.2">
      <c r="B84" s="32"/>
      <c r="C84" s="48">
        <v>11</v>
      </c>
      <c r="D84" s="31"/>
      <c r="E84" s="44"/>
      <c r="F84" s="44"/>
      <c r="G84" s="44">
        <f>D84</f>
        <v>0</v>
      </c>
      <c r="H84" s="32"/>
      <c r="I84" s="73"/>
      <c r="J84" s="73"/>
      <c r="K84" s="73"/>
      <c r="L84" s="32"/>
      <c r="M84" s="44"/>
      <c r="N84" s="44"/>
      <c r="O84" s="44">
        <f>P84</f>
        <v>0</v>
      </c>
      <c r="P84" s="31"/>
      <c r="Q84" s="48">
        <v>12</v>
      </c>
      <c r="R84" s="32"/>
    </row>
    <row r="85" spans="2:18" x14ac:dyDescent="0.2">
      <c r="B85" s="32"/>
      <c r="C85" s="48">
        <v>13</v>
      </c>
      <c r="D85" s="31"/>
      <c r="E85" s="44">
        <f>D85</f>
        <v>0</v>
      </c>
      <c r="F85" s="44"/>
      <c r="G85" s="44"/>
      <c r="H85" s="32"/>
      <c r="I85" s="73"/>
      <c r="J85" s="73"/>
      <c r="K85" s="73"/>
      <c r="L85" s="32"/>
      <c r="M85" s="44">
        <f>P85</f>
        <v>0</v>
      </c>
      <c r="N85" s="44"/>
      <c r="O85" s="44"/>
      <c r="P85" s="31"/>
      <c r="Q85" s="48">
        <v>14</v>
      </c>
      <c r="R85" s="32"/>
    </row>
    <row r="86" spans="2:18" x14ac:dyDescent="0.2">
      <c r="B86" s="32"/>
      <c r="C86" s="48">
        <v>15</v>
      </c>
      <c r="D86" s="31"/>
      <c r="E86" s="44"/>
      <c r="F86" s="44">
        <f>D86</f>
        <v>0</v>
      </c>
      <c r="G86" s="44"/>
      <c r="H86" s="32"/>
      <c r="I86" s="73"/>
      <c r="J86" s="73"/>
      <c r="K86" s="73"/>
      <c r="L86" s="32"/>
      <c r="M86" s="44"/>
      <c r="N86" s="44">
        <f>P86</f>
        <v>0</v>
      </c>
      <c r="O86" s="44"/>
      <c r="P86" s="31"/>
      <c r="Q86" s="48">
        <v>16</v>
      </c>
      <c r="R86" s="32"/>
    </row>
    <row r="87" spans="2:18" x14ac:dyDescent="0.2">
      <c r="B87" s="32"/>
      <c r="C87" s="48">
        <v>17</v>
      </c>
      <c r="D87" s="31"/>
      <c r="E87" s="44"/>
      <c r="F87" s="44"/>
      <c r="G87" s="44">
        <f>D87</f>
        <v>0</v>
      </c>
      <c r="H87" s="32"/>
      <c r="I87" s="73"/>
      <c r="J87" s="73"/>
      <c r="K87" s="73"/>
      <c r="L87" s="32"/>
      <c r="M87" s="44"/>
      <c r="N87" s="44"/>
      <c r="O87" s="44">
        <f>P87</f>
        <v>0</v>
      </c>
      <c r="P87" s="31"/>
      <c r="Q87" s="48">
        <v>18</v>
      </c>
      <c r="R87" s="32"/>
    </row>
    <row r="88" spans="2:18" x14ac:dyDescent="0.2">
      <c r="B88" s="32"/>
      <c r="C88" s="48">
        <v>19</v>
      </c>
      <c r="D88" s="31"/>
      <c r="E88" s="44">
        <f>D88</f>
        <v>0</v>
      </c>
      <c r="F88" s="44"/>
      <c r="G88" s="44"/>
      <c r="H88" s="32"/>
      <c r="I88" s="73"/>
      <c r="J88" s="73"/>
      <c r="K88" s="73"/>
      <c r="L88" s="32"/>
      <c r="M88" s="44">
        <f>P88</f>
        <v>0</v>
      </c>
      <c r="N88" s="44"/>
      <c r="O88" s="44"/>
      <c r="P88" s="31"/>
      <c r="Q88" s="48">
        <v>20</v>
      </c>
      <c r="R88" s="32"/>
    </row>
    <row r="89" spans="2:18" x14ac:dyDescent="0.2">
      <c r="B89" s="32"/>
      <c r="C89" s="48">
        <v>21</v>
      </c>
      <c r="D89" s="31"/>
      <c r="E89" s="44"/>
      <c r="F89" s="44">
        <f>D89</f>
        <v>0</v>
      </c>
      <c r="G89" s="44"/>
      <c r="H89" s="32"/>
      <c r="I89" s="73"/>
      <c r="J89" s="73"/>
      <c r="K89" s="73"/>
      <c r="L89" s="32"/>
      <c r="M89" s="44"/>
      <c r="N89" s="44">
        <f>P89</f>
        <v>0</v>
      </c>
      <c r="O89" s="44"/>
      <c r="P89" s="31"/>
      <c r="Q89" s="48">
        <v>22</v>
      </c>
      <c r="R89" s="32"/>
    </row>
    <row r="90" spans="2:18" x14ac:dyDescent="0.2">
      <c r="B90" s="32"/>
      <c r="C90" s="48">
        <v>23</v>
      </c>
      <c r="D90" s="31"/>
      <c r="E90" s="44"/>
      <c r="F90" s="44"/>
      <c r="G90" s="44">
        <f>D90</f>
        <v>0</v>
      </c>
      <c r="H90" s="32"/>
      <c r="I90" s="73"/>
      <c r="J90" s="73"/>
      <c r="K90" s="73"/>
      <c r="L90" s="32"/>
      <c r="M90" s="44"/>
      <c r="N90" s="44"/>
      <c r="O90" s="44">
        <f>P90</f>
        <v>0</v>
      </c>
      <c r="P90" s="31"/>
      <c r="Q90" s="48">
        <v>24</v>
      </c>
      <c r="R90" s="32"/>
    </row>
    <row r="91" spans="2:18" x14ac:dyDescent="0.2">
      <c r="B91" s="32"/>
      <c r="C91" s="48">
        <v>25</v>
      </c>
      <c r="D91" s="31"/>
      <c r="E91" s="44">
        <f>D91</f>
        <v>0</v>
      </c>
      <c r="F91" s="44"/>
      <c r="G91" s="44"/>
      <c r="H91" s="32"/>
      <c r="I91" s="73"/>
      <c r="J91" s="73"/>
      <c r="K91" s="73"/>
      <c r="L91" s="32"/>
      <c r="M91" s="44">
        <f>P91</f>
        <v>0</v>
      </c>
      <c r="N91" s="44"/>
      <c r="O91" s="44"/>
      <c r="P91" s="31"/>
      <c r="Q91" s="48">
        <v>26</v>
      </c>
      <c r="R91" s="32"/>
    </row>
    <row r="92" spans="2:18" x14ac:dyDescent="0.2">
      <c r="B92" s="32"/>
      <c r="C92" s="48">
        <v>27</v>
      </c>
      <c r="D92" s="31"/>
      <c r="E92" s="44"/>
      <c r="F92" s="44">
        <f>D92</f>
        <v>0</v>
      </c>
      <c r="G92" s="44"/>
      <c r="H92" s="32"/>
      <c r="I92" s="73"/>
      <c r="J92" s="73"/>
      <c r="K92" s="73"/>
      <c r="L92" s="32"/>
      <c r="M92" s="44"/>
      <c r="N92" s="44">
        <f>P92</f>
        <v>0</v>
      </c>
      <c r="O92" s="44"/>
      <c r="P92" s="31"/>
      <c r="Q92" s="48">
        <v>28</v>
      </c>
      <c r="R92" s="32"/>
    </row>
    <row r="93" spans="2:18" x14ac:dyDescent="0.2">
      <c r="B93" s="32"/>
      <c r="C93" s="48">
        <v>29</v>
      </c>
      <c r="D93" s="31"/>
      <c r="E93" s="44"/>
      <c r="F93" s="44"/>
      <c r="G93" s="44">
        <f>D93</f>
        <v>0</v>
      </c>
      <c r="H93" s="32"/>
      <c r="I93" s="73"/>
      <c r="J93" s="73"/>
      <c r="K93" s="73"/>
      <c r="L93" s="32"/>
      <c r="M93" s="44"/>
      <c r="N93" s="44"/>
      <c r="O93" s="44">
        <f>P93</f>
        <v>0</v>
      </c>
      <c r="P93" s="31"/>
      <c r="Q93" s="48">
        <v>30</v>
      </c>
      <c r="R93" s="32"/>
    </row>
    <row r="94" spans="2:18" x14ac:dyDescent="0.2">
      <c r="B94" s="32"/>
      <c r="C94" s="48">
        <v>31</v>
      </c>
      <c r="D94" s="31"/>
      <c r="E94" s="44">
        <f>D94</f>
        <v>0</v>
      </c>
      <c r="F94" s="44"/>
      <c r="G94" s="44"/>
      <c r="H94" s="32"/>
      <c r="I94" s="73"/>
      <c r="J94" s="73"/>
      <c r="K94" s="73"/>
      <c r="L94" s="32"/>
      <c r="M94" s="44">
        <f>P94</f>
        <v>0</v>
      </c>
      <c r="N94" s="44"/>
      <c r="O94" s="44"/>
      <c r="P94" s="33"/>
      <c r="Q94" s="48">
        <v>32</v>
      </c>
      <c r="R94" s="32"/>
    </row>
    <row r="95" spans="2:18" x14ac:dyDescent="0.2">
      <c r="B95" s="32"/>
      <c r="C95" s="48">
        <v>33</v>
      </c>
      <c r="D95" s="31"/>
      <c r="E95" s="44"/>
      <c r="F95" s="44">
        <f>D95</f>
        <v>0</v>
      </c>
      <c r="G95" s="44"/>
      <c r="H95" s="32"/>
      <c r="I95" s="73"/>
      <c r="J95" s="73"/>
      <c r="K95" s="73"/>
      <c r="L95" s="32"/>
      <c r="M95" s="44"/>
      <c r="N95" s="44">
        <f>P95</f>
        <v>0</v>
      </c>
      <c r="O95" s="44"/>
      <c r="P95" s="33"/>
      <c r="Q95" s="48">
        <v>34</v>
      </c>
      <c r="R95" s="32"/>
    </row>
    <row r="96" spans="2:18" x14ac:dyDescent="0.2">
      <c r="B96" s="32"/>
      <c r="C96" s="48">
        <v>35</v>
      </c>
      <c r="D96" s="31"/>
      <c r="E96" s="44"/>
      <c r="F96" s="44"/>
      <c r="G96" s="44">
        <f>D96</f>
        <v>0</v>
      </c>
      <c r="H96" s="32"/>
      <c r="I96" s="73"/>
      <c r="J96" s="73"/>
      <c r="K96" s="73"/>
      <c r="L96" s="32"/>
      <c r="M96" s="44"/>
      <c r="N96" s="44"/>
      <c r="O96" s="44">
        <f>P96</f>
        <v>0</v>
      </c>
      <c r="P96" s="33"/>
      <c r="Q96" s="48">
        <v>36</v>
      </c>
      <c r="R96" s="32"/>
    </row>
    <row r="97" spans="2:18" x14ac:dyDescent="0.2">
      <c r="B97" s="32"/>
      <c r="C97" s="48">
        <v>37</v>
      </c>
      <c r="D97" s="31"/>
      <c r="E97" s="44">
        <f>D97</f>
        <v>0</v>
      </c>
      <c r="F97" s="44"/>
      <c r="G97" s="44"/>
      <c r="H97" s="32"/>
      <c r="I97" s="73"/>
      <c r="J97" s="73"/>
      <c r="K97" s="73"/>
      <c r="L97" s="32"/>
      <c r="M97" s="44">
        <f>P97</f>
        <v>0</v>
      </c>
      <c r="N97" s="44"/>
      <c r="O97" s="44"/>
      <c r="P97" s="33"/>
      <c r="Q97" s="48">
        <v>38</v>
      </c>
      <c r="R97" s="32"/>
    </row>
    <row r="98" spans="2:18" x14ac:dyDescent="0.2">
      <c r="B98" s="32"/>
      <c r="C98" s="48">
        <v>39</v>
      </c>
      <c r="D98" s="33"/>
      <c r="E98" s="44"/>
      <c r="F98" s="44">
        <f>D98</f>
        <v>0</v>
      </c>
      <c r="G98" s="44"/>
      <c r="H98" s="32"/>
      <c r="I98" s="73"/>
      <c r="J98" s="73"/>
      <c r="K98" s="73"/>
      <c r="L98" s="32"/>
      <c r="M98" s="44"/>
      <c r="N98" s="44">
        <f>P98</f>
        <v>0</v>
      </c>
      <c r="O98" s="44"/>
      <c r="P98" s="33"/>
      <c r="Q98" s="48">
        <v>40</v>
      </c>
      <c r="R98" s="32"/>
    </row>
    <row r="99" spans="2:18" x14ac:dyDescent="0.2">
      <c r="B99" s="32"/>
      <c r="C99" s="48">
        <v>41</v>
      </c>
      <c r="D99" s="33"/>
      <c r="E99" s="44"/>
      <c r="F99" s="44"/>
      <c r="G99" s="44">
        <f>D99</f>
        <v>0</v>
      </c>
      <c r="H99" s="32"/>
      <c r="I99" s="73"/>
      <c r="J99" s="73"/>
      <c r="K99" s="73"/>
      <c r="L99" s="32"/>
      <c r="M99" s="44"/>
      <c r="N99" s="44"/>
      <c r="O99" s="44">
        <f>P99</f>
        <v>0</v>
      </c>
      <c r="P99" s="33"/>
      <c r="Q99" s="48">
        <v>42</v>
      </c>
      <c r="R99" s="32"/>
    </row>
    <row r="100" spans="2:18" x14ac:dyDescent="0.2">
      <c r="B100" s="55"/>
      <c r="C100" s="2"/>
      <c r="D100" s="56"/>
      <c r="E100" s="54">
        <f>SUM(E79:E99)</f>
        <v>0</v>
      </c>
      <c r="F100" s="54">
        <f>SUM(F79:F99)</f>
        <v>0</v>
      </c>
      <c r="G100" s="54">
        <f>SUM(G79:G99)</f>
        <v>0</v>
      </c>
      <c r="H100" s="56"/>
      <c r="L100" s="56"/>
      <c r="M100" s="54">
        <f>SUM(M79:M99)</f>
        <v>0</v>
      </c>
      <c r="N100" s="54">
        <f>SUM(N79:N99)</f>
        <v>0</v>
      </c>
      <c r="O100" s="54">
        <f>SUM(O79:O99)</f>
        <v>0</v>
      </c>
      <c r="P100" s="2"/>
      <c r="Q100" s="56"/>
      <c r="R100" s="74"/>
    </row>
    <row r="101" spans="2:18" x14ac:dyDescent="0.2">
      <c r="B101" s="57"/>
      <c r="C101" s="58" t="s">
        <v>29</v>
      </c>
      <c r="D101" s="54">
        <f>SUM(D79:D99)</f>
        <v>0</v>
      </c>
      <c r="M101" s="51"/>
      <c r="P101" s="54">
        <f>SUM(P79:P99)</f>
        <v>0</v>
      </c>
      <c r="Q101" s="59" t="s">
        <v>29</v>
      </c>
      <c r="R101" s="75"/>
    </row>
    <row r="102" spans="2:18" x14ac:dyDescent="0.2">
      <c r="B102" s="57"/>
      <c r="C102" s="60"/>
      <c r="I102" s="60"/>
      <c r="J102" s="60"/>
      <c r="K102" s="60"/>
      <c r="Q102" s="1"/>
      <c r="R102" s="75"/>
    </row>
    <row r="103" spans="2:18" x14ac:dyDescent="0.2">
      <c r="B103" s="77" t="s">
        <v>87</v>
      </c>
      <c r="C103" s="54">
        <f>+D101+P101</f>
        <v>0</v>
      </c>
      <c r="I103" s="83"/>
      <c r="J103" s="83"/>
      <c r="K103" s="83"/>
      <c r="M103" s="51"/>
      <c r="P103" s="1"/>
      <c r="R103" s="75"/>
    </row>
    <row r="104" spans="2:18" x14ac:dyDescent="0.2">
      <c r="B104" s="77" t="s">
        <v>93</v>
      </c>
      <c r="C104" s="54">
        <f>+'K REG'!$A$5</f>
        <v>381.05117766515298</v>
      </c>
      <c r="I104" s="83"/>
      <c r="J104" s="83"/>
      <c r="K104" s="83"/>
      <c r="M104" s="51"/>
      <c r="P104" s="1"/>
      <c r="R104" s="75"/>
    </row>
    <row r="105" spans="2:18" x14ac:dyDescent="0.2">
      <c r="B105" s="77" t="s">
        <v>86</v>
      </c>
      <c r="C105" s="59">
        <f>+C103/(SQRT(3)*C104)</f>
        <v>0</v>
      </c>
      <c r="R105" s="75"/>
    </row>
    <row r="106" spans="2:18" x14ac:dyDescent="0.2">
      <c r="B106" s="77" t="s">
        <v>89</v>
      </c>
      <c r="C106" s="54">
        <f>+E100+M100</f>
        <v>0</v>
      </c>
      <c r="D106" s="82" t="e">
        <f>+(C106-MAX(C106:C108))/MAX(C106:C108)</f>
        <v>#DIV/0!</v>
      </c>
      <c r="R106" s="75"/>
    </row>
    <row r="107" spans="2:18" x14ac:dyDescent="0.2">
      <c r="B107" s="77" t="s">
        <v>90</v>
      </c>
      <c r="C107" s="54">
        <f>+F100+N100</f>
        <v>0</v>
      </c>
      <c r="D107" s="82" t="e">
        <f>+(C107-MAX(C106:C108))/MAX(C106:C108)</f>
        <v>#DIV/0!</v>
      </c>
      <c r="R107" s="75"/>
    </row>
    <row r="108" spans="2:18" x14ac:dyDescent="0.2">
      <c r="B108" s="77" t="s">
        <v>91</v>
      </c>
      <c r="C108" s="54">
        <f>+G100+O100</f>
        <v>0</v>
      </c>
      <c r="D108" s="82" t="e">
        <f>+(C108-MAX(C106:C108))/MAX(C106:C108)</f>
        <v>#DIV/0!</v>
      </c>
      <c r="R108" s="75"/>
    </row>
    <row r="109" spans="2:18" x14ac:dyDescent="0.2">
      <c r="B109" s="78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80"/>
      <c r="N109" s="79"/>
      <c r="O109" s="79"/>
      <c r="P109" s="79"/>
      <c r="Q109" s="79"/>
      <c r="R109" s="81"/>
    </row>
  </sheetData>
  <mergeCells count="41">
    <mergeCell ref="AC2:AC3"/>
    <mergeCell ref="T2:T3"/>
    <mergeCell ref="U2:U3"/>
    <mergeCell ref="Z2:AB2"/>
    <mergeCell ref="B23:R23"/>
    <mergeCell ref="B2:B3"/>
    <mergeCell ref="W2:W3"/>
    <mergeCell ref="X2:X3"/>
    <mergeCell ref="Y2:Y3"/>
    <mergeCell ref="S2:S3"/>
    <mergeCell ref="V2:V3"/>
    <mergeCell ref="B26:B28"/>
    <mergeCell ref="H26:H28"/>
    <mergeCell ref="B24:C25"/>
    <mergeCell ref="Q24:R25"/>
    <mergeCell ref="I24:K25"/>
    <mergeCell ref="D24:D25"/>
    <mergeCell ref="E24:G24"/>
    <mergeCell ref="M24:O24"/>
    <mergeCell ref="P24:P25"/>
    <mergeCell ref="H24:H25"/>
    <mergeCell ref="L24:L25"/>
    <mergeCell ref="L77:L78"/>
    <mergeCell ref="M77:O77"/>
    <mergeCell ref="P77:P78"/>
    <mergeCell ref="Q77:R78"/>
    <mergeCell ref="B77:C78"/>
    <mergeCell ref="D77:D78"/>
    <mergeCell ref="E77:G77"/>
    <mergeCell ref="H77:H78"/>
    <mergeCell ref="I77:K78"/>
    <mergeCell ref="H58:H59"/>
    <mergeCell ref="K58:K59"/>
    <mergeCell ref="I58:I59"/>
    <mergeCell ref="J58:J59"/>
    <mergeCell ref="B76:R76"/>
    <mergeCell ref="L58:L59"/>
    <mergeCell ref="M58:M59"/>
    <mergeCell ref="N58:N59"/>
    <mergeCell ref="O58:Q58"/>
    <mergeCell ref="B58:B59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L76"/>
  <sheetViews>
    <sheetView showGridLines="0" zoomScaleNormal="100" zoomScaleSheetLayoutView="100" workbookViewId="0">
      <pane xSplit="3" ySplit="4" topLeftCell="N5" activePane="bottomRight" state="frozen"/>
      <selection pane="topRight" activeCell="C1" sqref="C1"/>
      <selection pane="bottomLeft" activeCell="A4" sqref="A4"/>
      <selection pane="bottomRight" activeCell="AS78" sqref="AS78"/>
    </sheetView>
  </sheetViews>
  <sheetFormatPr baseColWidth="10" defaultRowHeight="11.25" x14ac:dyDescent="0.2"/>
  <cols>
    <col min="1" max="1" width="11.42578125" style="94"/>
    <col min="2" max="2" width="2.85546875" style="94" bestFit="1" customWidth="1"/>
    <col min="3" max="3" width="7.28515625" style="94" customWidth="1"/>
    <col min="4" max="21" width="8.42578125" style="94" customWidth="1"/>
    <col min="22" max="38" width="8.42578125" style="94" hidden="1" customWidth="1"/>
    <col min="39" max="39" width="6.5703125" style="94" bestFit="1" customWidth="1"/>
    <col min="40" max="40" width="9" style="94" bestFit="1" customWidth="1"/>
    <col min="41" max="43" width="8" style="94" customWidth="1"/>
    <col min="44" max="44" width="5.85546875" style="94" bestFit="1" customWidth="1"/>
    <col min="45" max="45" width="8.28515625" style="94" bestFit="1" customWidth="1"/>
    <col min="46" max="46" width="9.7109375" style="94" bestFit="1" customWidth="1"/>
    <col min="47" max="49" width="8.140625" style="94" customWidth="1"/>
    <col min="50" max="50" width="9.5703125" style="94" customWidth="1"/>
    <col min="51" max="54" width="8.140625" style="94" customWidth="1"/>
    <col min="55" max="56" width="6.42578125" style="94" bestFit="1" customWidth="1"/>
    <col min="57" max="60" width="5.5703125" style="94" bestFit="1" customWidth="1"/>
    <col min="61" max="62" width="6.85546875" style="94" bestFit="1" customWidth="1"/>
    <col min="63" max="64" width="7.140625" style="94" bestFit="1" customWidth="1"/>
    <col min="65" max="16384" width="11.42578125" style="94"/>
  </cols>
  <sheetData>
    <row r="1" spans="2:64" ht="12" thickBot="1" x14ac:dyDescent="0.25"/>
    <row r="2" spans="2:64" x14ac:dyDescent="0.2">
      <c r="B2" s="177" t="s">
        <v>82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9"/>
      <c r="AU2" s="175" t="s">
        <v>57</v>
      </c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</row>
    <row r="3" spans="2:64" s="95" customFormat="1" ht="22.5" x14ac:dyDescent="0.2">
      <c r="B3" s="180" t="s">
        <v>1</v>
      </c>
      <c r="C3" s="181" t="s">
        <v>2</v>
      </c>
      <c r="D3" s="108" t="s">
        <v>98</v>
      </c>
      <c r="E3" s="42" t="s">
        <v>25</v>
      </c>
      <c r="F3" s="42" t="s">
        <v>25</v>
      </c>
      <c r="G3" s="42" t="s">
        <v>25</v>
      </c>
      <c r="H3" s="42" t="s">
        <v>25</v>
      </c>
      <c r="I3" s="42" t="s">
        <v>25</v>
      </c>
      <c r="J3" s="42" t="s">
        <v>25</v>
      </c>
      <c r="K3" s="42" t="s">
        <v>25</v>
      </c>
      <c r="L3" s="42" t="s">
        <v>25</v>
      </c>
      <c r="M3" s="42" t="s">
        <v>25</v>
      </c>
      <c r="N3" s="42" t="s">
        <v>25</v>
      </c>
      <c r="O3" s="42" t="s">
        <v>25</v>
      </c>
      <c r="P3" s="42" t="s">
        <v>25</v>
      </c>
      <c r="Q3" s="42" t="s">
        <v>25</v>
      </c>
      <c r="R3" s="42" t="s">
        <v>25</v>
      </c>
      <c r="S3" s="42" t="s">
        <v>25</v>
      </c>
      <c r="T3" s="42" t="s">
        <v>25</v>
      </c>
      <c r="U3" s="42" t="s">
        <v>25</v>
      </c>
      <c r="V3" s="42" t="s">
        <v>25</v>
      </c>
      <c r="W3" s="42" t="s">
        <v>25</v>
      </c>
      <c r="X3" s="42" t="s">
        <v>25</v>
      </c>
      <c r="Y3" s="42" t="s">
        <v>25</v>
      </c>
      <c r="Z3" s="42" t="s">
        <v>25</v>
      </c>
      <c r="AA3" s="42" t="s">
        <v>25</v>
      </c>
      <c r="AB3" s="42" t="s">
        <v>25</v>
      </c>
      <c r="AC3" s="42" t="s">
        <v>25</v>
      </c>
      <c r="AD3" s="42" t="s">
        <v>25</v>
      </c>
      <c r="AE3" s="42" t="s">
        <v>25</v>
      </c>
      <c r="AF3" s="42" t="s">
        <v>25</v>
      </c>
      <c r="AG3" s="42" t="s">
        <v>25</v>
      </c>
      <c r="AH3" s="42" t="s">
        <v>25</v>
      </c>
      <c r="AI3" s="42" t="s">
        <v>25</v>
      </c>
      <c r="AJ3" s="42" t="s">
        <v>25</v>
      </c>
      <c r="AK3" s="42" t="s">
        <v>25</v>
      </c>
      <c r="AL3" s="42" t="s">
        <v>25</v>
      </c>
      <c r="AM3" s="108" t="s">
        <v>25</v>
      </c>
      <c r="AN3" s="108" t="s">
        <v>26</v>
      </c>
      <c r="AO3" s="108" t="s">
        <v>77</v>
      </c>
      <c r="AP3" s="108" t="s">
        <v>78</v>
      </c>
      <c r="AQ3" s="108" t="s">
        <v>79</v>
      </c>
      <c r="AR3" s="181" t="s">
        <v>27</v>
      </c>
      <c r="AS3" s="176" t="s">
        <v>126</v>
      </c>
      <c r="AT3" s="182"/>
      <c r="AU3" s="175" t="s">
        <v>58</v>
      </c>
      <c r="AV3" s="176"/>
      <c r="AW3" s="176"/>
      <c r="AX3" s="176" t="s">
        <v>84</v>
      </c>
      <c r="AY3" s="176" t="s">
        <v>49</v>
      </c>
      <c r="AZ3" s="176" t="s">
        <v>59</v>
      </c>
      <c r="BA3" s="176"/>
      <c r="BB3" s="176"/>
      <c r="BC3" s="108" t="s">
        <v>60</v>
      </c>
      <c r="BD3" s="108" t="s">
        <v>61</v>
      </c>
      <c r="BE3" s="108" t="s">
        <v>62</v>
      </c>
      <c r="BF3" s="108" t="s">
        <v>63</v>
      </c>
      <c r="BG3" s="108" t="s">
        <v>64</v>
      </c>
      <c r="BH3" s="108" t="s">
        <v>65</v>
      </c>
      <c r="BI3" s="108" t="s">
        <v>66</v>
      </c>
      <c r="BJ3" s="108" t="s">
        <v>67</v>
      </c>
      <c r="BK3" s="108" t="s">
        <v>68</v>
      </c>
      <c r="BL3" s="108" t="s">
        <v>69</v>
      </c>
    </row>
    <row r="4" spans="2:64" x14ac:dyDescent="0.2">
      <c r="B4" s="180"/>
      <c r="C4" s="181"/>
      <c r="D4" s="109" t="s">
        <v>125</v>
      </c>
      <c r="E4" s="42">
        <v>3569</v>
      </c>
      <c r="F4" s="42">
        <v>1905</v>
      </c>
      <c r="G4" s="42">
        <f>F4-198</f>
        <v>1707</v>
      </c>
      <c r="H4" s="42">
        <f>G4-198</f>
        <v>1509</v>
      </c>
      <c r="I4" s="42">
        <f>H4-198</f>
        <v>1311</v>
      </c>
      <c r="J4" s="42">
        <f>I4-198</f>
        <v>1113</v>
      </c>
      <c r="K4" s="42">
        <f>J4-159</f>
        <v>954</v>
      </c>
      <c r="L4" s="42">
        <f>K4-159</f>
        <v>795</v>
      </c>
      <c r="M4" s="42">
        <f>L4-159</f>
        <v>636</v>
      </c>
      <c r="N4" s="42">
        <f>M4-159</f>
        <v>477</v>
      </c>
      <c r="O4" s="42">
        <f t="shared" ref="O4:P4" si="0">N4-159</f>
        <v>318</v>
      </c>
      <c r="P4" s="42">
        <f t="shared" si="0"/>
        <v>159</v>
      </c>
      <c r="Q4" s="42">
        <v>872</v>
      </c>
      <c r="R4" s="42">
        <v>792</v>
      </c>
      <c r="S4" s="42">
        <f>R4-198</f>
        <v>594</v>
      </c>
      <c r="T4" s="42">
        <f>S4-198</f>
        <v>396</v>
      </c>
      <c r="U4" s="42">
        <f>T4-198</f>
        <v>198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109" t="s">
        <v>3</v>
      </c>
      <c r="AN4" s="109" t="s">
        <v>4</v>
      </c>
      <c r="AO4" s="109" t="s">
        <v>23</v>
      </c>
      <c r="AP4" s="109" t="s">
        <v>23</v>
      </c>
      <c r="AQ4" s="109" t="s">
        <v>23</v>
      </c>
      <c r="AR4" s="181"/>
      <c r="AS4" s="109" t="s">
        <v>5</v>
      </c>
      <c r="AT4" s="112" t="s">
        <v>6</v>
      </c>
      <c r="AU4" s="110" t="s">
        <v>27</v>
      </c>
      <c r="AV4" s="109" t="s">
        <v>70</v>
      </c>
      <c r="AW4" s="109" t="s">
        <v>71</v>
      </c>
      <c r="AX4" s="176"/>
      <c r="AY4" s="176"/>
      <c r="AZ4" s="109" t="s">
        <v>27</v>
      </c>
      <c r="BA4" s="109" t="s">
        <v>70</v>
      </c>
      <c r="BB4" s="109" t="s">
        <v>71</v>
      </c>
      <c r="BC4" s="109" t="s">
        <v>72</v>
      </c>
      <c r="BD4" s="109" t="s">
        <v>72</v>
      </c>
      <c r="BE4" s="109" t="s">
        <v>72</v>
      </c>
      <c r="BF4" s="109" t="s">
        <v>72</v>
      </c>
      <c r="BG4" s="109" t="s">
        <v>72</v>
      </c>
      <c r="BH4" s="109" t="s">
        <v>72</v>
      </c>
      <c r="BI4" s="109" t="s">
        <v>72</v>
      </c>
      <c r="BJ4" s="109" t="s">
        <v>72</v>
      </c>
      <c r="BK4" s="109" t="s">
        <v>72</v>
      </c>
      <c r="BL4" s="109" t="s">
        <v>72</v>
      </c>
    </row>
    <row r="5" spans="2:64" ht="12.75" x14ac:dyDescent="0.2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5"/>
      <c r="AU5" s="111"/>
      <c r="AV5" s="35"/>
      <c r="AW5" s="35"/>
      <c r="AX5" s="35"/>
      <c r="AY5" s="35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2:64" x14ac:dyDescent="0.2">
      <c r="B6" s="186" t="s">
        <v>130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07"/>
      <c r="AP6" s="107"/>
      <c r="AQ6" s="107"/>
      <c r="AR6" s="107"/>
      <c r="AS6" s="107"/>
      <c r="AT6" s="113"/>
      <c r="AU6" s="107"/>
      <c r="AV6" s="107"/>
      <c r="AW6" s="96"/>
      <c r="AX6" s="35"/>
      <c r="AY6" s="35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</row>
    <row r="7" spans="2:64" x14ac:dyDescent="0.2">
      <c r="B7" s="114">
        <v>0</v>
      </c>
      <c r="C7" s="61">
        <v>1</v>
      </c>
      <c r="D7" s="37">
        <v>37</v>
      </c>
      <c r="E7" s="61">
        <v>1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38">
        <f>(E7*E$4+F7*F$4+G7*G$4+H7*$H$4+I7*I$4+J7*J$4+K7*K$4+L7*L$4+O7*O$4+Q7*Q$4+M7*$M$4+N7*$N$4+R7*$R$4+S7*$S$4+T7*$T$4+U7*$U$4+P7*$P$4)/1000</f>
        <v>3.569</v>
      </c>
      <c r="AN7" s="37">
        <f>AM7*D7</f>
        <v>132.053</v>
      </c>
      <c r="AO7" s="61">
        <v>4</v>
      </c>
      <c r="AP7" s="61">
        <v>4</v>
      </c>
      <c r="AQ7" s="61"/>
      <c r="AR7" s="61">
        <v>3</v>
      </c>
      <c r="AS7" s="36">
        <f>AN7*VLOOKUP(AO7&amp;"-"&amp;AR7&amp;"F",tabla,2,FALSE)</f>
        <v>0.43477393825999999</v>
      </c>
      <c r="AT7" s="115">
        <f>AS7</f>
        <v>0.43477393825999999</v>
      </c>
      <c r="AU7" s="111">
        <v>1</v>
      </c>
      <c r="AV7" s="35">
        <v>1</v>
      </c>
      <c r="AW7" s="35"/>
      <c r="AX7" s="61"/>
      <c r="AY7" s="61"/>
      <c r="AZ7" s="61">
        <f>+AU7*D7</f>
        <v>37</v>
      </c>
      <c r="BA7" s="61">
        <f>+AV7*D7</f>
        <v>37</v>
      </c>
      <c r="BB7" s="61">
        <f>+AW7*D7</f>
        <v>0</v>
      </c>
      <c r="BC7" s="61">
        <f>+BB7+BB7</f>
        <v>0</v>
      </c>
      <c r="BD7" s="61"/>
      <c r="BE7" s="61"/>
      <c r="BF7" s="61"/>
      <c r="BG7" s="61"/>
      <c r="BH7" s="61"/>
      <c r="BI7" s="61"/>
      <c r="BJ7" s="61"/>
      <c r="BK7" s="61"/>
      <c r="BL7" s="61"/>
    </row>
    <row r="8" spans="2:64" x14ac:dyDescent="0.2"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5"/>
      <c r="AP8" s="166"/>
      <c r="AQ8" s="166"/>
      <c r="AR8" s="166"/>
      <c r="AS8" s="166"/>
      <c r="AT8" s="167"/>
      <c r="AU8" s="174"/>
      <c r="AV8" s="174"/>
      <c r="AW8" s="174"/>
      <c r="AX8" s="35"/>
      <c r="AY8" s="35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</row>
    <row r="9" spans="2:64" x14ac:dyDescent="0.2">
      <c r="B9" s="114">
        <v>1</v>
      </c>
      <c r="C9" s="61">
        <f>C7+1</f>
        <v>2</v>
      </c>
      <c r="D9" s="37">
        <v>29</v>
      </c>
      <c r="E9" s="61"/>
      <c r="F9" s="61">
        <v>1</v>
      </c>
      <c r="G9" s="35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38">
        <f>(E9*E$4+F9*F$4+G9*G$4+H9*$H$4+I9*I$4+J9*J$4+K9*K$4+L9*L$4+O9*O$4+Q9*Q$4+M9*$M$4+N9*$N$4+R9*$R$4+S9*$S$4+T9*$T$4+U9*$U$4+P9*$P$4)/1000</f>
        <v>1.905</v>
      </c>
      <c r="AN9" s="37">
        <f>AM9*D9</f>
        <v>55.244999999999997</v>
      </c>
      <c r="AO9" s="61">
        <v>4</v>
      </c>
      <c r="AP9" s="61">
        <v>4</v>
      </c>
      <c r="AQ9" s="61"/>
      <c r="AR9" s="61">
        <v>3</v>
      </c>
      <c r="AS9" s="36">
        <f>AN9*VLOOKUP(AO9&amp;"-"&amp;AR9&amp;"F",tabla,2,FALSE)</f>
        <v>0.18188974289999998</v>
      </c>
      <c r="AT9" s="115">
        <f>AS9+AT7</f>
        <v>0.61666368115999992</v>
      </c>
      <c r="AU9" s="111">
        <v>1</v>
      </c>
      <c r="AV9" s="35">
        <v>1</v>
      </c>
      <c r="AW9" s="35"/>
      <c r="AX9" s="61"/>
      <c r="AY9" s="61"/>
      <c r="AZ9" s="61">
        <f>+AU9*D9</f>
        <v>29</v>
      </c>
      <c r="BA9" s="61">
        <f>+AV9*D9</f>
        <v>29</v>
      </c>
      <c r="BB9" s="61">
        <f>+AW9*D9</f>
        <v>0</v>
      </c>
      <c r="BC9" s="61">
        <f>+BB9+BB9</f>
        <v>0</v>
      </c>
      <c r="BD9" s="61"/>
      <c r="BE9" s="61"/>
      <c r="BF9" s="61"/>
      <c r="BG9" s="61"/>
      <c r="BH9" s="61"/>
      <c r="BI9" s="61"/>
      <c r="BJ9" s="61"/>
      <c r="BK9" s="61"/>
      <c r="BL9" s="61"/>
    </row>
    <row r="10" spans="2:64" x14ac:dyDescent="0.2">
      <c r="B10" s="16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5"/>
      <c r="AP10" s="166"/>
      <c r="AQ10" s="166"/>
      <c r="AR10" s="166"/>
      <c r="AS10" s="166"/>
      <c r="AT10" s="167"/>
      <c r="AU10" s="107"/>
      <c r="AV10" s="107"/>
      <c r="AW10" s="96"/>
      <c r="AX10" s="35"/>
      <c r="AY10" s="35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2:64" x14ac:dyDescent="0.2">
      <c r="B11" s="114">
        <v>2</v>
      </c>
      <c r="C11" s="61">
        <f>C9+1</f>
        <v>3</v>
      </c>
      <c r="D11" s="37">
        <v>41</v>
      </c>
      <c r="E11" s="61"/>
      <c r="F11" s="61"/>
      <c r="G11" s="61">
        <v>1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38">
        <f>(E11*E$4+F11*F$4+G11*G$4+H11*$H$4+I11*I$4+J11*J$4+K11*K$4+L11*L$4+O11*O$4+Q11*Q$4+M11*$M$4+N11*$N$4+R11*$R$4+S11*$S$4+T11*$T$4+U11*$U$4+P11*$P$4)/1000</f>
        <v>1.7070000000000001</v>
      </c>
      <c r="AN11" s="37">
        <f>AM11*D11</f>
        <v>69.987000000000009</v>
      </c>
      <c r="AO11" s="61">
        <v>4</v>
      </c>
      <c r="AP11" s="61">
        <v>4</v>
      </c>
      <c r="AQ11" s="61"/>
      <c r="AR11" s="61">
        <v>3</v>
      </c>
      <c r="AS11" s="36">
        <f>AN11*VLOOKUP(AO11&amp;"-"&amp;AR11&amp;"F",tabla,2,FALSE)</f>
        <v>0.23042659854000003</v>
      </c>
      <c r="AT11" s="115">
        <f>AS11+AT9</f>
        <v>0.84709027969999995</v>
      </c>
      <c r="AU11" s="111">
        <v>1</v>
      </c>
      <c r="AV11" s="35">
        <v>1</v>
      </c>
      <c r="AW11" s="35"/>
      <c r="AX11" s="35"/>
      <c r="AY11" s="35"/>
      <c r="AZ11" s="61">
        <f>+AU11*D11</f>
        <v>41</v>
      </c>
      <c r="BA11" s="61">
        <f>+AV11*D11</f>
        <v>41</v>
      </c>
      <c r="BB11" s="61">
        <f>+AW11*D11</f>
        <v>0</v>
      </c>
      <c r="BC11" s="61">
        <f>+BB11+BB11</f>
        <v>0</v>
      </c>
      <c r="BD11" s="61"/>
      <c r="BE11" s="61"/>
      <c r="BF11" s="61"/>
      <c r="BG11" s="61"/>
      <c r="BH11" s="61"/>
      <c r="BI11" s="61"/>
      <c r="BJ11" s="61"/>
      <c r="BK11" s="61"/>
      <c r="BL11" s="61"/>
    </row>
    <row r="12" spans="2:64" x14ac:dyDescent="0.2"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4"/>
      <c r="AO12" s="165"/>
      <c r="AP12" s="166"/>
      <c r="AQ12" s="166"/>
      <c r="AR12" s="166"/>
      <c r="AS12" s="166"/>
      <c r="AT12" s="167"/>
      <c r="AU12" s="107"/>
      <c r="AV12" s="107"/>
      <c r="AW12" s="96"/>
      <c r="AX12" s="35"/>
      <c r="AY12" s="35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</row>
    <row r="13" spans="2:64" x14ac:dyDescent="0.2">
      <c r="B13" s="114">
        <v>3</v>
      </c>
      <c r="C13" s="61">
        <f>C11+1</f>
        <v>4</v>
      </c>
      <c r="D13" s="37">
        <v>40</v>
      </c>
      <c r="E13" s="61"/>
      <c r="F13" s="61"/>
      <c r="G13" s="61"/>
      <c r="H13" s="61">
        <v>1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38">
        <f>(E13*E$4+F13*F$4+G13*G$4+H13*$H$4+I13*I$4+J13*J$4+K13*K$4+L13*L$4+O13*O$4+Q13*Q$4+M13*$M$4+N13*$N$4+R13*$R$4+S13*$S$4+T13*$T$4+U13*$U$4+P13*$P$4)/1000</f>
        <v>1.5089999999999999</v>
      </c>
      <c r="AN13" s="37">
        <f>AM13*D13</f>
        <v>60.36</v>
      </c>
      <c r="AO13" s="61">
        <v>4</v>
      </c>
      <c r="AP13" s="61">
        <v>4</v>
      </c>
      <c r="AQ13" s="61"/>
      <c r="AR13" s="61">
        <v>3</v>
      </c>
      <c r="AS13" s="36">
        <f>AN13*VLOOKUP(AO13&amp;"-"&amp;AR13&amp;"F",tabla,2,FALSE)</f>
        <v>0.19873047119999998</v>
      </c>
      <c r="AT13" s="115">
        <f>AS13+AT11</f>
        <v>1.0458207508999999</v>
      </c>
      <c r="AU13" s="111">
        <v>1</v>
      </c>
      <c r="AV13" s="35">
        <v>1</v>
      </c>
      <c r="AW13" s="35"/>
      <c r="AX13" s="35"/>
      <c r="AY13" s="35"/>
      <c r="AZ13" s="61">
        <f>+AU13*D13</f>
        <v>40</v>
      </c>
      <c r="BA13" s="61">
        <f>+AV13*D13</f>
        <v>40</v>
      </c>
      <c r="BB13" s="61">
        <f>+AW13*D13</f>
        <v>0</v>
      </c>
      <c r="BC13" s="61">
        <f>+BB13+BB13</f>
        <v>0</v>
      </c>
      <c r="BD13" s="61"/>
      <c r="BE13" s="61"/>
      <c r="BF13" s="61"/>
      <c r="BG13" s="61"/>
      <c r="BH13" s="61"/>
      <c r="BI13" s="61"/>
      <c r="BJ13" s="61"/>
      <c r="BK13" s="61"/>
      <c r="BL13" s="61"/>
    </row>
    <row r="14" spans="2:64" x14ac:dyDescent="0.2">
      <c r="B14" s="162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4"/>
      <c r="AO14" s="165"/>
      <c r="AP14" s="166"/>
      <c r="AQ14" s="166"/>
      <c r="AR14" s="166"/>
      <c r="AS14" s="166"/>
      <c r="AT14" s="167"/>
      <c r="AU14" s="166"/>
      <c r="AV14" s="166"/>
      <c r="AW14" s="188"/>
      <c r="AX14" s="35"/>
      <c r="AY14" s="35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</row>
    <row r="15" spans="2:64" x14ac:dyDescent="0.2">
      <c r="B15" s="114">
        <v>4</v>
      </c>
      <c r="C15" s="61">
        <f>C13+1</f>
        <v>5</v>
      </c>
      <c r="D15" s="37">
        <v>40</v>
      </c>
      <c r="E15" s="61"/>
      <c r="F15" s="61"/>
      <c r="G15" s="61"/>
      <c r="H15" s="61"/>
      <c r="I15" s="61">
        <v>1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38">
        <f>(E15*E$4+F15*F$4+G15*G$4+H15*$H$4+I15*I$4+J15*J$4+K15*K$4+L15*L$4+O15*O$4+Q15*Q$4+M15*$M$4+N15*$N$4+R15*$R$4+S15*$S$4+T15*$T$4+U15*$U$4+P15*$P$4)/1000</f>
        <v>1.3109999999999999</v>
      </c>
      <c r="AN15" s="37">
        <f>AM15*D15</f>
        <v>52.44</v>
      </c>
      <c r="AO15" s="61">
        <v>4</v>
      </c>
      <c r="AP15" s="61">
        <v>4</v>
      </c>
      <c r="AQ15" s="61"/>
      <c r="AR15" s="61">
        <v>3</v>
      </c>
      <c r="AS15" s="36">
        <f>AN15*VLOOKUP(AO15&amp;"-"&amp;AR15&amp;"F",tabla,2,FALSE)</f>
        <v>0.1726545048</v>
      </c>
      <c r="AT15" s="115">
        <f>AS15+AT13</f>
        <v>1.2184752557</v>
      </c>
      <c r="AU15" s="111">
        <v>1</v>
      </c>
      <c r="AV15" s="35">
        <v>1</v>
      </c>
      <c r="AW15" s="35"/>
      <c r="AX15" s="35"/>
      <c r="AY15" s="35"/>
      <c r="AZ15" s="61">
        <f>+AU15*D15</f>
        <v>40</v>
      </c>
      <c r="BA15" s="61">
        <f>+AV15*D15</f>
        <v>40</v>
      </c>
      <c r="BB15" s="61">
        <f>+AW15*D15</f>
        <v>0</v>
      </c>
      <c r="BC15" s="61">
        <f>+BB15+BB15</f>
        <v>0</v>
      </c>
      <c r="BD15" s="61"/>
      <c r="BE15" s="61"/>
      <c r="BF15" s="61"/>
      <c r="BG15" s="61"/>
      <c r="BH15" s="61"/>
      <c r="BI15" s="61"/>
      <c r="BJ15" s="61"/>
      <c r="BK15" s="61"/>
      <c r="BL15" s="61"/>
    </row>
    <row r="16" spans="2:64" x14ac:dyDescent="0.2"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4"/>
      <c r="AO16" s="165"/>
      <c r="AP16" s="166"/>
      <c r="AQ16" s="166"/>
      <c r="AR16" s="166"/>
      <c r="AS16" s="166"/>
      <c r="AT16" s="167"/>
      <c r="AU16" s="107"/>
      <c r="AV16" s="107"/>
      <c r="AW16" s="96"/>
      <c r="AX16" s="35"/>
      <c r="AY16" s="35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</row>
    <row r="17" spans="2:64" x14ac:dyDescent="0.2">
      <c r="B17" s="114">
        <v>5</v>
      </c>
      <c r="C17" s="61">
        <f>C15+1</f>
        <v>6</v>
      </c>
      <c r="D17" s="37">
        <v>40</v>
      </c>
      <c r="E17" s="61"/>
      <c r="F17" s="61"/>
      <c r="G17" s="61"/>
      <c r="H17" s="61"/>
      <c r="I17" s="61"/>
      <c r="J17" s="61">
        <v>1</v>
      </c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38">
        <f>(E17*E$4+F17*F$4+G17*G$4+H17*$H$4+I17*I$4+J17*J$4+K17*K$4+L17*L$4+O17*O$4+Q17*Q$4+M17*$M$4+N17*$N$4+R17*$R$4+S17*$S$4+T17*$T$4+U17*$U$4+P17*$P$4)/1000</f>
        <v>1.113</v>
      </c>
      <c r="AN17" s="37">
        <f>AM17*D17</f>
        <v>44.519999999999996</v>
      </c>
      <c r="AO17" s="61">
        <v>4</v>
      </c>
      <c r="AP17" s="61">
        <v>4</v>
      </c>
      <c r="AQ17" s="61"/>
      <c r="AR17" s="61">
        <v>3</v>
      </c>
      <c r="AS17" s="36">
        <f>AN17*VLOOKUP(AO17&amp;"-"&amp;AR17&amp;"F",tabla,2,FALSE)</f>
        <v>0.14657853839999999</v>
      </c>
      <c r="AT17" s="115">
        <f>AS17+AT15</f>
        <v>1.3650537941000001</v>
      </c>
      <c r="AU17" s="111">
        <v>1</v>
      </c>
      <c r="AV17" s="35">
        <v>1</v>
      </c>
      <c r="AW17" s="35"/>
      <c r="AX17" s="35"/>
      <c r="AY17" s="35"/>
      <c r="AZ17" s="61">
        <f>+AU17*D17</f>
        <v>40</v>
      </c>
      <c r="BA17" s="61">
        <f>+AV17*D17</f>
        <v>40</v>
      </c>
      <c r="BB17" s="61">
        <f>+AW17*D17</f>
        <v>0</v>
      </c>
      <c r="BC17" s="61">
        <f>+BB17+BB17</f>
        <v>0</v>
      </c>
      <c r="BD17" s="61"/>
      <c r="BE17" s="61"/>
      <c r="BF17" s="61"/>
      <c r="BG17" s="61"/>
      <c r="BH17" s="61"/>
      <c r="BI17" s="61"/>
      <c r="BJ17" s="61"/>
      <c r="BK17" s="61"/>
      <c r="BL17" s="61"/>
    </row>
    <row r="18" spans="2:64" x14ac:dyDescent="0.2">
      <c r="B18" s="186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07"/>
      <c r="AP18" s="107"/>
      <c r="AQ18" s="107"/>
      <c r="AR18" s="107"/>
      <c r="AS18" s="107"/>
      <c r="AT18" s="113"/>
      <c r="AU18" s="107"/>
      <c r="AV18" s="107"/>
      <c r="AW18" s="96"/>
      <c r="AX18" s="35"/>
      <c r="AY18" s="35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2:64" x14ac:dyDescent="0.2">
      <c r="B19" s="114">
        <v>6</v>
      </c>
      <c r="C19" s="61">
        <v>7</v>
      </c>
      <c r="D19" s="37">
        <v>40</v>
      </c>
      <c r="E19" s="61"/>
      <c r="F19" s="61"/>
      <c r="G19" s="61"/>
      <c r="H19" s="61"/>
      <c r="I19" s="61"/>
      <c r="J19" s="61"/>
      <c r="K19" s="61">
        <v>1</v>
      </c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38">
        <f>(E19*E$4+F19*F$4+G19*G$4+H19*$H$4+I19*I$4+J19*J$4+K19*K$4+L19*L$4+O19*O$4+Q19*Q$4+M19*$M$4+N19*$N$4+R19*$R$4+S19*$S$4+T19*$T$4+U19*$U$4+P19*$P$4)/1000</f>
        <v>0.95399999999999996</v>
      </c>
      <c r="AN19" s="37">
        <f>AM19*D19</f>
        <v>38.159999999999997</v>
      </c>
      <c r="AO19" s="61">
        <v>4</v>
      </c>
      <c r="AP19" s="61">
        <v>4</v>
      </c>
      <c r="AQ19" s="61"/>
      <c r="AR19" s="61">
        <v>3</v>
      </c>
      <c r="AS19" s="36">
        <f>AN19*VLOOKUP(AO19&amp;"-"&amp;AR19&amp;"F",tabla,2,FALSE)</f>
        <v>0.12563874719999998</v>
      </c>
      <c r="AT19" s="115">
        <f>AS19+AT17</f>
        <v>1.4906925413000001</v>
      </c>
      <c r="AU19" s="111">
        <v>1</v>
      </c>
      <c r="AV19" s="35">
        <v>1</v>
      </c>
      <c r="AW19" s="35"/>
      <c r="AX19" s="61"/>
      <c r="AY19" s="61"/>
      <c r="AZ19" s="61">
        <f>+AU19*D19</f>
        <v>40</v>
      </c>
      <c r="BA19" s="61">
        <f>+AV19*D19</f>
        <v>40</v>
      </c>
      <c r="BB19" s="61">
        <f>+AW19*D19</f>
        <v>0</v>
      </c>
      <c r="BC19" s="61">
        <f>+BB19+BB19</f>
        <v>0</v>
      </c>
      <c r="BD19" s="61"/>
      <c r="BE19" s="61"/>
      <c r="BF19" s="61"/>
      <c r="BG19" s="61"/>
      <c r="BH19" s="61"/>
      <c r="BI19" s="61"/>
      <c r="BJ19" s="61"/>
      <c r="BK19" s="61"/>
      <c r="BL19" s="61"/>
    </row>
    <row r="20" spans="2:64" x14ac:dyDescent="0.2"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5"/>
      <c r="AP20" s="166"/>
      <c r="AQ20" s="166"/>
      <c r="AR20" s="166"/>
      <c r="AS20" s="166"/>
      <c r="AT20" s="167"/>
      <c r="AU20" s="174"/>
      <c r="AV20" s="174"/>
      <c r="AW20" s="174"/>
      <c r="AX20" s="35"/>
      <c r="AY20" s="35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</row>
    <row r="21" spans="2:64" x14ac:dyDescent="0.2">
      <c r="B21" s="114">
        <v>7</v>
      </c>
      <c r="C21" s="61">
        <f>C19+1</f>
        <v>8</v>
      </c>
      <c r="D21" s="37">
        <v>40</v>
      </c>
      <c r="E21" s="61"/>
      <c r="F21" s="61"/>
      <c r="G21" s="35"/>
      <c r="H21" s="61"/>
      <c r="I21" s="61"/>
      <c r="J21" s="61"/>
      <c r="K21" s="61"/>
      <c r="L21" s="61">
        <v>1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38">
        <f>(E21*E$4+F21*F$4+G21*G$4+H21*$H$4+I21*I$4+J21*J$4+K21*K$4+L21*L$4+O21*O$4+Q21*Q$4+M21*$M$4+N21*$N$4+R21*$R$4+S21*$S$4+T21*$T$4+U21*$U$4+P21*$P$4)/1000</f>
        <v>0.79500000000000004</v>
      </c>
      <c r="AN21" s="37">
        <f>AM21*D21</f>
        <v>31.8</v>
      </c>
      <c r="AO21" s="61">
        <v>4</v>
      </c>
      <c r="AP21" s="61">
        <v>4</v>
      </c>
      <c r="AQ21" s="61"/>
      <c r="AR21" s="61">
        <v>3</v>
      </c>
      <c r="AS21" s="36">
        <f>AN21*VLOOKUP(AO21&amp;"-"&amp;AR21&amp;"F",tabla,2,FALSE)</f>
        <v>0.104698956</v>
      </c>
      <c r="AT21" s="115">
        <f>AS21+AT19</f>
        <v>1.5953914973000001</v>
      </c>
      <c r="AU21" s="111">
        <v>1</v>
      </c>
      <c r="AV21" s="35">
        <v>1</v>
      </c>
      <c r="AW21" s="35"/>
      <c r="AX21" s="61"/>
      <c r="AY21" s="61"/>
      <c r="AZ21" s="61">
        <f>+AU21*D21</f>
        <v>40</v>
      </c>
      <c r="BA21" s="61">
        <f>+AV21*D21</f>
        <v>40</v>
      </c>
      <c r="BB21" s="61">
        <f>+AW21*D21</f>
        <v>0</v>
      </c>
      <c r="BC21" s="61">
        <f>+BB21+BB21</f>
        <v>0</v>
      </c>
      <c r="BD21" s="61"/>
      <c r="BE21" s="61"/>
      <c r="BF21" s="61"/>
      <c r="BG21" s="61"/>
      <c r="BH21" s="61"/>
      <c r="BI21" s="61"/>
      <c r="BJ21" s="61"/>
      <c r="BK21" s="61"/>
      <c r="BL21" s="61"/>
    </row>
    <row r="22" spans="2:64" x14ac:dyDescent="0.2"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4"/>
      <c r="AO22" s="165"/>
      <c r="AP22" s="166"/>
      <c r="AQ22" s="166"/>
      <c r="AR22" s="166"/>
      <c r="AS22" s="166"/>
      <c r="AT22" s="167"/>
      <c r="AU22" s="107"/>
      <c r="AV22" s="107"/>
      <c r="AW22" s="96"/>
      <c r="AX22" s="35"/>
      <c r="AY22" s="35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</row>
    <row r="23" spans="2:64" x14ac:dyDescent="0.2">
      <c r="B23" s="114">
        <v>8</v>
      </c>
      <c r="C23" s="61">
        <f>C21+1</f>
        <v>9</v>
      </c>
      <c r="D23" s="37">
        <v>40</v>
      </c>
      <c r="E23" s="61"/>
      <c r="F23" s="61"/>
      <c r="G23" s="61"/>
      <c r="H23" s="61"/>
      <c r="I23" s="61"/>
      <c r="J23" s="61"/>
      <c r="K23" s="61"/>
      <c r="L23" s="61"/>
      <c r="M23" s="61">
        <v>1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38">
        <f>(E23*E$4+F23*F$4+G23*G$4+H23*$H$4+I23*I$4+J23*J$4+K23*K$4+L23*L$4+O23*O$4+Q23*Q$4+M23*$M$4+N23*$N$4+R23*$R$4+S23*$S$4+T23*$T$4+U23*$U$4+P23*$P$4)/1000</f>
        <v>0.63600000000000001</v>
      </c>
      <c r="AN23" s="37">
        <f>AM23*D23</f>
        <v>25.44</v>
      </c>
      <c r="AO23" s="61">
        <v>4</v>
      </c>
      <c r="AP23" s="61">
        <v>4</v>
      </c>
      <c r="AQ23" s="61"/>
      <c r="AR23" s="61">
        <v>3</v>
      </c>
      <c r="AS23" s="36">
        <f>AN23*VLOOKUP(AO23&amp;"-"&amp;AR23&amp;"F",tabla,2,FALSE)</f>
        <v>8.3759164800000008E-2</v>
      </c>
      <c r="AT23" s="115">
        <f>AS23+AT21</f>
        <v>1.6791506621000001</v>
      </c>
      <c r="AU23" s="111">
        <v>1</v>
      </c>
      <c r="AV23" s="35">
        <v>1</v>
      </c>
      <c r="AW23" s="35"/>
      <c r="AX23" s="35"/>
      <c r="AY23" s="35"/>
      <c r="AZ23" s="61">
        <f>+AU23*D23</f>
        <v>40</v>
      </c>
      <c r="BA23" s="61">
        <f>+AV23*D23</f>
        <v>40</v>
      </c>
      <c r="BB23" s="61">
        <f>+AW23*D23</f>
        <v>0</v>
      </c>
      <c r="BC23" s="61">
        <f>+BB23+BB23</f>
        <v>0</v>
      </c>
      <c r="BD23" s="61"/>
      <c r="BE23" s="61"/>
      <c r="BF23" s="61"/>
      <c r="BG23" s="61"/>
      <c r="BH23" s="61"/>
      <c r="BI23" s="61"/>
      <c r="BJ23" s="61"/>
      <c r="BK23" s="61"/>
      <c r="BL23" s="61"/>
    </row>
    <row r="24" spans="2:64" x14ac:dyDescent="0.2"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4"/>
      <c r="AO24" s="165"/>
      <c r="AP24" s="166"/>
      <c r="AQ24" s="166"/>
      <c r="AR24" s="166"/>
      <c r="AS24" s="166"/>
      <c r="AT24" s="167"/>
      <c r="AU24" s="107"/>
      <c r="AV24" s="107"/>
      <c r="AW24" s="96"/>
      <c r="AX24" s="35"/>
      <c r="AY24" s="35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</row>
    <row r="25" spans="2:64" x14ac:dyDescent="0.2">
      <c r="B25" s="114">
        <v>9</v>
      </c>
      <c r="C25" s="61">
        <f>C23+1</f>
        <v>10</v>
      </c>
      <c r="D25" s="37">
        <v>40</v>
      </c>
      <c r="E25" s="61"/>
      <c r="F25" s="61"/>
      <c r="G25" s="61"/>
      <c r="H25" s="61"/>
      <c r="I25" s="61"/>
      <c r="J25" s="61"/>
      <c r="K25" s="61"/>
      <c r="L25" s="61"/>
      <c r="M25" s="61"/>
      <c r="N25" s="61">
        <v>1</v>
      </c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38">
        <f>(E25*E$4+F25*F$4+G25*G$4+H25*$H$4+I25*I$4+J25*J$4+K25*K$4+L25*L$4+O25*O$4+Q25*Q$4+M25*$M$4+N25*$N$4+R25*$R$4+S25*$S$4+T25*$T$4+U25*$U$4+P25*$P$4)/1000</f>
        <v>0.47699999999999998</v>
      </c>
      <c r="AN25" s="37">
        <f>AM25*D25</f>
        <v>19.079999999999998</v>
      </c>
      <c r="AO25" s="61">
        <v>4</v>
      </c>
      <c r="AP25" s="61">
        <v>4</v>
      </c>
      <c r="AQ25" s="61"/>
      <c r="AR25" s="61">
        <v>3</v>
      </c>
      <c r="AS25" s="36">
        <f>AN25*VLOOKUP(AO25&amp;"-"&amp;AR25&amp;"F",tabla,2,FALSE)</f>
        <v>6.2819373599999992E-2</v>
      </c>
      <c r="AT25" s="128">
        <f>AS25+AT23</f>
        <v>1.7419700357000001</v>
      </c>
      <c r="AU25" s="111">
        <v>1</v>
      </c>
      <c r="AV25" s="35">
        <v>1</v>
      </c>
      <c r="AW25" s="35"/>
      <c r="AX25" s="35"/>
      <c r="AY25" s="35"/>
      <c r="AZ25" s="61">
        <f>+AU25*D25</f>
        <v>40</v>
      </c>
      <c r="BA25" s="61">
        <f>+AV25*D25</f>
        <v>40</v>
      </c>
      <c r="BB25" s="61">
        <f>+AW25*D25</f>
        <v>0</v>
      </c>
      <c r="BC25" s="61">
        <f>+BB25+BB25</f>
        <v>0</v>
      </c>
      <c r="BD25" s="61"/>
      <c r="BE25" s="61"/>
      <c r="BF25" s="61"/>
      <c r="BG25" s="61"/>
      <c r="BH25" s="61"/>
      <c r="BI25" s="61"/>
      <c r="BJ25" s="61"/>
      <c r="BK25" s="61"/>
      <c r="BL25" s="61"/>
    </row>
    <row r="26" spans="2:64" x14ac:dyDescent="0.2"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4"/>
      <c r="AO26" s="165"/>
      <c r="AP26" s="166"/>
      <c r="AQ26" s="166"/>
      <c r="AR26" s="166"/>
      <c r="AS26" s="166"/>
      <c r="AT26" s="167"/>
      <c r="AU26" s="166"/>
      <c r="AV26" s="166"/>
      <c r="AW26" s="188"/>
      <c r="AX26" s="35"/>
      <c r="AY26" s="35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2:64" x14ac:dyDescent="0.2">
      <c r="B27" s="114">
        <v>2</v>
      </c>
      <c r="C27" s="61">
        <f>C25+1</f>
        <v>11</v>
      </c>
      <c r="D27" s="37">
        <v>40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1</v>
      </c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38">
        <f>(E27*E$4+F27*F$4+G27*G$4+H27*$H$4+I27*I$4+J27*J$4+K27*K$4+L27*L$4+O27*O$4+Q27*Q$4+M27*$M$4+N27*$N$4+R27*$R$4+S27*$S$4+T27*$T$4+U27*$U$4+P27*$P$4)/1000</f>
        <v>0.318</v>
      </c>
      <c r="AN27" s="37">
        <f>AM27*D27</f>
        <v>12.72</v>
      </c>
      <c r="AO27" s="61">
        <v>4</v>
      </c>
      <c r="AP27" s="61">
        <v>4</v>
      </c>
      <c r="AQ27" s="61"/>
      <c r="AR27" s="61">
        <v>3</v>
      </c>
      <c r="AS27" s="36">
        <f>AN27*VLOOKUP(AO27&amp;"-"&amp;AR27&amp;"F",tabla,2,FALSE)</f>
        <v>4.1879582400000004E-2</v>
      </c>
      <c r="AT27" s="115">
        <f>AS27+AT7</f>
        <v>0.47665352066</v>
      </c>
      <c r="AU27" s="111">
        <v>1</v>
      </c>
      <c r="AV27" s="35">
        <v>1</v>
      </c>
      <c r="AW27" s="35"/>
      <c r="AX27" s="35"/>
      <c r="AY27" s="35"/>
      <c r="AZ27" s="61">
        <f>+AU27*D27</f>
        <v>40</v>
      </c>
      <c r="BA27" s="61">
        <f>+AV27*D27</f>
        <v>40</v>
      </c>
      <c r="BB27" s="61">
        <f>+AW27*D27</f>
        <v>0</v>
      </c>
      <c r="BC27" s="61">
        <f>+BB27+BB27</f>
        <v>0</v>
      </c>
      <c r="BD27" s="61"/>
      <c r="BE27" s="61"/>
      <c r="BF27" s="61"/>
      <c r="BG27" s="61"/>
      <c r="BH27" s="61"/>
      <c r="BI27" s="61"/>
      <c r="BJ27" s="61"/>
      <c r="BK27" s="61"/>
      <c r="BL27" s="61"/>
    </row>
    <row r="28" spans="2:64" x14ac:dyDescent="0.2"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4"/>
      <c r="AO28" s="165"/>
      <c r="AP28" s="166"/>
      <c r="AQ28" s="166"/>
      <c r="AR28" s="166"/>
      <c r="AS28" s="166"/>
      <c r="AT28" s="167"/>
      <c r="AU28" s="107"/>
      <c r="AV28" s="107"/>
      <c r="AW28" s="96"/>
      <c r="AX28" s="35"/>
      <c r="AY28" s="35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2:64" x14ac:dyDescent="0.2">
      <c r="B29" s="114">
        <v>11</v>
      </c>
      <c r="C29" s="61">
        <f>C27+1</f>
        <v>12</v>
      </c>
      <c r="D29" s="37">
        <v>40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>
        <v>1</v>
      </c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38">
        <f>(E29*E$4+F29*F$4+G29*G$4+H29*$H$4+I29*I$4+J29*J$4+K29*K$4+L29*L$4+O29*O$4+Q29*Q$4+M29*$M$4+N29*$N$4+R29*$R$4+S29*$S$4+T29*$T$4+U29*$U$4+P29*$P$4)/1000</f>
        <v>0.159</v>
      </c>
      <c r="AN29" s="37">
        <f>AM29*D29</f>
        <v>6.36</v>
      </c>
      <c r="AO29" s="61">
        <v>4</v>
      </c>
      <c r="AP29" s="61">
        <v>4</v>
      </c>
      <c r="AQ29" s="61"/>
      <c r="AR29" s="61">
        <v>3</v>
      </c>
      <c r="AS29" s="36">
        <f>AN29*VLOOKUP(AO29&amp;"-"&amp;AR29&amp;"F",tabla,2,FALSE)</f>
        <v>2.0939791200000002E-2</v>
      </c>
      <c r="AT29" s="128">
        <f>AS29+AT27</f>
        <v>0.49759331186</v>
      </c>
      <c r="AU29" s="111">
        <v>1</v>
      </c>
      <c r="AV29" s="35">
        <v>1</v>
      </c>
      <c r="AW29" s="35"/>
      <c r="AX29" s="35"/>
      <c r="AY29" s="35"/>
      <c r="AZ29" s="61">
        <f>+AU29*D29</f>
        <v>40</v>
      </c>
      <c r="BA29" s="61">
        <f>+AV29*D29</f>
        <v>40</v>
      </c>
      <c r="BB29" s="61">
        <f>+AW29*D29</f>
        <v>0</v>
      </c>
      <c r="BC29" s="61">
        <f>+BB29+BB29</f>
        <v>0</v>
      </c>
      <c r="BD29" s="61"/>
      <c r="BE29" s="61"/>
      <c r="BF29" s="61"/>
      <c r="BG29" s="61"/>
      <c r="BH29" s="61"/>
      <c r="BI29" s="61"/>
      <c r="BJ29" s="61"/>
      <c r="BK29" s="61"/>
      <c r="BL29" s="61"/>
    </row>
    <row r="30" spans="2:64" x14ac:dyDescent="0.2">
      <c r="B30" s="186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07"/>
      <c r="AP30" s="107"/>
      <c r="AQ30" s="107"/>
      <c r="AR30" s="107"/>
      <c r="AS30" s="107"/>
      <c r="AT30" s="113"/>
      <c r="AU30" s="107"/>
      <c r="AV30" s="107"/>
      <c r="AW30" s="96"/>
      <c r="AX30" s="35"/>
      <c r="AY30" s="35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</row>
    <row r="31" spans="2:64" x14ac:dyDescent="0.2">
      <c r="B31" s="114">
        <v>1</v>
      </c>
      <c r="C31" s="61">
        <v>13</v>
      </c>
      <c r="D31" s="37">
        <v>55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1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38">
        <f>(E31*E$4+F31*F$4+G31*G$4+H31*$H$4+I31*I$4+J31*J$4+K31*K$4+L31*L$4+O31*O$4+Q31*Q$4+M31*$M$4+N31*$N$4+R31*$R$4+S31*$S$4+T31*$T$4+U31*$U$4+P31*$P$4)/1000</f>
        <v>0.872</v>
      </c>
      <c r="AN31" s="37">
        <f>AM31*D31</f>
        <v>47.96</v>
      </c>
      <c r="AO31" s="61">
        <v>4</v>
      </c>
      <c r="AP31" s="61">
        <v>4</v>
      </c>
      <c r="AQ31" s="61"/>
      <c r="AR31" s="61">
        <v>3</v>
      </c>
      <c r="AS31" s="36">
        <f>AN31*VLOOKUP(AO31&amp;"-"&amp;AR31&amp;"F",tabla,2,FALSE)</f>
        <v>0.15790446320000001</v>
      </c>
      <c r="AT31" s="128">
        <f>AS31+AT7</f>
        <v>0.59267840145999995</v>
      </c>
      <c r="AU31" s="111">
        <v>1</v>
      </c>
      <c r="AV31" s="35">
        <v>1</v>
      </c>
      <c r="AW31" s="35"/>
      <c r="AX31" s="61"/>
      <c r="AY31" s="61"/>
      <c r="AZ31" s="61">
        <f>+AU31*D31</f>
        <v>55</v>
      </c>
      <c r="BA31" s="61">
        <f>+AV31*D31</f>
        <v>55</v>
      </c>
      <c r="BB31" s="61">
        <f>+AW31*D31</f>
        <v>0</v>
      </c>
      <c r="BC31" s="61">
        <f>+BB31+BB31</f>
        <v>0</v>
      </c>
      <c r="BD31" s="61"/>
      <c r="BE31" s="61"/>
      <c r="BF31" s="61"/>
      <c r="BG31" s="61"/>
      <c r="BH31" s="61"/>
      <c r="BI31" s="61"/>
      <c r="BJ31" s="61"/>
      <c r="BK31" s="61"/>
      <c r="BL31" s="61"/>
    </row>
    <row r="32" spans="2:64" x14ac:dyDescent="0.2"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5"/>
      <c r="AP32" s="166"/>
      <c r="AQ32" s="166"/>
      <c r="AR32" s="166"/>
      <c r="AS32" s="166"/>
      <c r="AT32" s="167"/>
      <c r="AU32" s="174"/>
      <c r="AV32" s="174"/>
      <c r="AW32" s="174"/>
      <c r="AX32" s="35"/>
      <c r="AY32" s="35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</row>
    <row r="33" spans="2:64" x14ac:dyDescent="0.2">
      <c r="B33" s="114">
        <v>1</v>
      </c>
      <c r="C33" s="61">
        <f>C31+1</f>
        <v>14</v>
      </c>
      <c r="D33" s="37">
        <v>44</v>
      </c>
      <c r="E33" s="61"/>
      <c r="F33" s="61"/>
      <c r="G33" s="35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>
        <v>1</v>
      </c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38">
        <f>(E33*E$4+F33*F$4+G33*G$4+H33*$H$4+I33*I$4+J33*J$4+K33*K$4+L33*L$4+O33*O$4+Q33*Q$4+M33*$M$4+N33*$N$4+R33*$R$4+S33*$S$4+T33*$T$4+U33*$U$4+P33*$P$4)/1000</f>
        <v>0.79200000000000004</v>
      </c>
      <c r="AN33" s="37">
        <f>AM33*D33</f>
        <v>34.847999999999999</v>
      </c>
      <c r="AO33" s="61">
        <v>4</v>
      </c>
      <c r="AP33" s="61">
        <v>4</v>
      </c>
      <c r="AQ33" s="61"/>
      <c r="AR33" s="61">
        <v>3</v>
      </c>
      <c r="AS33" s="36">
        <f>AN33*VLOOKUP(AO33&amp;"-"&amp;AR33&amp;"F",tabla,2,FALSE)</f>
        <v>0.11473425215999999</v>
      </c>
      <c r="AT33" s="115">
        <f>AS33+AT7</f>
        <v>0.54950819041999999</v>
      </c>
      <c r="AU33" s="111">
        <v>1</v>
      </c>
      <c r="AV33" s="35">
        <v>1</v>
      </c>
      <c r="AW33" s="35"/>
      <c r="AX33" s="61"/>
      <c r="AY33" s="61"/>
      <c r="AZ33" s="61">
        <f>+AU33*D33</f>
        <v>44</v>
      </c>
      <c r="BA33" s="61">
        <f>+AV33*D33</f>
        <v>44</v>
      </c>
      <c r="BB33" s="61">
        <f>+AW33*D33</f>
        <v>0</v>
      </c>
      <c r="BC33" s="61">
        <f>+BB33+BB33</f>
        <v>0</v>
      </c>
      <c r="BD33" s="61"/>
      <c r="BE33" s="61"/>
      <c r="BF33" s="61"/>
      <c r="BG33" s="61"/>
      <c r="BH33" s="61"/>
      <c r="BI33" s="61"/>
      <c r="BJ33" s="61"/>
      <c r="BK33" s="61"/>
      <c r="BL33" s="61"/>
    </row>
    <row r="34" spans="2:64" x14ac:dyDescent="0.2"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4"/>
      <c r="AO34" s="165"/>
      <c r="AP34" s="166"/>
      <c r="AQ34" s="166"/>
      <c r="AR34" s="166"/>
      <c r="AS34" s="166"/>
      <c r="AT34" s="167"/>
      <c r="AU34" s="107"/>
      <c r="AV34" s="107"/>
      <c r="AW34" s="96"/>
      <c r="AX34" s="35"/>
      <c r="AY34" s="35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2:64" x14ac:dyDescent="0.2">
      <c r="B35" s="114">
        <v>14</v>
      </c>
      <c r="C35" s="61">
        <f>C33+1</f>
        <v>15</v>
      </c>
      <c r="D35" s="37">
        <v>40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>
        <v>1</v>
      </c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38">
        <f>(E35*E$4+F35*F$4+G35*G$4+H35*$H$4+I35*I$4+J35*J$4+K35*K$4+L35*L$4+O35*O$4+Q35*Q$4+M35*$M$4+N35*$N$4+R35*$R$4+S35*$S$4+T35*$T$4+U35*$U$4+P35*$P$4)/1000</f>
        <v>0.59399999999999997</v>
      </c>
      <c r="AN35" s="37">
        <f>AM35*D35</f>
        <v>23.759999999999998</v>
      </c>
      <c r="AO35" s="61">
        <v>4</v>
      </c>
      <c r="AP35" s="61">
        <v>4</v>
      </c>
      <c r="AQ35" s="61"/>
      <c r="AR35" s="61">
        <v>3</v>
      </c>
      <c r="AS35" s="36">
        <f>AN35*VLOOKUP(AO35&amp;"-"&amp;AR35&amp;"F",tabla,2,FALSE)</f>
        <v>7.8227899199999992E-2</v>
      </c>
      <c r="AT35" s="115">
        <f>AS35+AT33</f>
        <v>0.62773608961999994</v>
      </c>
      <c r="AU35" s="111">
        <v>1</v>
      </c>
      <c r="AV35" s="35">
        <v>1</v>
      </c>
      <c r="AW35" s="35"/>
      <c r="AX35" s="35"/>
      <c r="AY35" s="35"/>
      <c r="AZ35" s="61">
        <f>+AU35*D35</f>
        <v>40</v>
      </c>
      <c r="BA35" s="61">
        <f>+AV35*D35</f>
        <v>40</v>
      </c>
      <c r="BB35" s="61">
        <f>+AW35*D35</f>
        <v>0</v>
      </c>
      <c r="BC35" s="61">
        <f>+BB35+BB35</f>
        <v>0</v>
      </c>
      <c r="BD35" s="61"/>
      <c r="BE35" s="61"/>
      <c r="BF35" s="61"/>
      <c r="BG35" s="61"/>
      <c r="BH35" s="61"/>
      <c r="BI35" s="61"/>
      <c r="BJ35" s="61"/>
      <c r="BK35" s="61"/>
      <c r="BL35" s="61"/>
    </row>
    <row r="36" spans="2:64" x14ac:dyDescent="0.2"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4"/>
      <c r="AO36" s="165"/>
      <c r="AP36" s="166"/>
      <c r="AQ36" s="166"/>
      <c r="AR36" s="166"/>
      <c r="AS36" s="166"/>
      <c r="AT36" s="167"/>
      <c r="AU36" s="107"/>
      <c r="AV36" s="107"/>
      <c r="AW36" s="96"/>
      <c r="AX36" s="35"/>
      <c r="AY36" s="35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</row>
    <row r="37" spans="2:64" x14ac:dyDescent="0.2">
      <c r="B37" s="114">
        <v>15</v>
      </c>
      <c r="C37" s="61">
        <f>C35+1</f>
        <v>16</v>
      </c>
      <c r="D37" s="37">
        <v>40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>
        <v>1</v>
      </c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38">
        <f>(E37*E$4+F37*F$4+G37*G$4+H37*$H$4+I37*I$4+J37*J$4+K37*K$4+L37*L$4+O37*O$4+Q37*Q$4+M37*$M$4+N37*$N$4+R37*$R$4+S37*$S$4+T37*$T$4+U37*$U$4+P37*$P$4)/1000</f>
        <v>0.39600000000000002</v>
      </c>
      <c r="AN37" s="37">
        <f>AM37*D37</f>
        <v>15.84</v>
      </c>
      <c r="AO37" s="61">
        <v>4</v>
      </c>
      <c r="AP37" s="61">
        <v>4</v>
      </c>
      <c r="AQ37" s="61"/>
      <c r="AR37" s="61">
        <v>3</v>
      </c>
      <c r="AS37" s="36">
        <f>AN37*VLOOKUP(AO37&amp;"-"&amp;AR37&amp;"F",tabla,2,FALSE)</f>
        <v>5.2151932799999995E-2</v>
      </c>
      <c r="AT37" s="115">
        <f>AS37+AT35</f>
        <v>0.6798880224199999</v>
      </c>
      <c r="AU37" s="111">
        <v>1</v>
      </c>
      <c r="AV37" s="35">
        <v>1</v>
      </c>
      <c r="AW37" s="35"/>
      <c r="AX37" s="35"/>
      <c r="AY37" s="35"/>
      <c r="AZ37" s="61">
        <f>+AU37*D37</f>
        <v>40</v>
      </c>
      <c r="BA37" s="61">
        <f>+AV37*D37</f>
        <v>40</v>
      </c>
      <c r="BB37" s="61">
        <f>+AW37*D37</f>
        <v>0</v>
      </c>
      <c r="BC37" s="61">
        <f>+BB37+BB37</f>
        <v>0</v>
      </c>
      <c r="BD37" s="61"/>
      <c r="BE37" s="61"/>
      <c r="BF37" s="61"/>
      <c r="BG37" s="61"/>
      <c r="BH37" s="61"/>
      <c r="BI37" s="61"/>
      <c r="BJ37" s="61"/>
      <c r="BK37" s="61"/>
      <c r="BL37" s="61"/>
    </row>
    <row r="38" spans="2:64" x14ac:dyDescent="0.2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4"/>
      <c r="AO38" s="165"/>
      <c r="AP38" s="166"/>
      <c r="AQ38" s="166"/>
      <c r="AR38" s="166"/>
      <c r="AS38" s="166"/>
      <c r="AT38" s="167"/>
      <c r="AU38" s="166"/>
      <c r="AV38" s="166"/>
      <c r="AW38" s="188"/>
      <c r="AX38" s="35"/>
      <c r="AY38" s="35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</row>
    <row r="39" spans="2:64" x14ac:dyDescent="0.2">
      <c r="B39" s="114">
        <v>16</v>
      </c>
      <c r="C39" s="61">
        <f>C37+1</f>
        <v>17</v>
      </c>
      <c r="D39" s="37">
        <v>40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>
        <v>1</v>
      </c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38">
        <f>(E39*E$4+F39*F$4+G39*G$4+H39*$H$4+I39*I$4+J39*J$4+K39*K$4+L39*L$4+O39*O$4+Q39*Q$4+M39*$M$4+N39*$N$4+R39*$R$4+S39*$S$4+T39*$T$4+U39*$U$4+P39*$P$4)/1000</f>
        <v>0.19800000000000001</v>
      </c>
      <c r="AN39" s="37">
        <f>AM39*D39</f>
        <v>7.92</v>
      </c>
      <c r="AO39" s="61">
        <v>4</v>
      </c>
      <c r="AP39" s="61">
        <v>4</v>
      </c>
      <c r="AQ39" s="61"/>
      <c r="AR39" s="61">
        <v>3</v>
      </c>
      <c r="AS39" s="36">
        <f>AN39*VLOOKUP(AO39&amp;"-"&amp;AR39&amp;"F",tabla,2,FALSE)</f>
        <v>2.6075966399999997E-2</v>
      </c>
      <c r="AT39" s="128">
        <f>AS39+AT37</f>
        <v>0.70596398881999989</v>
      </c>
      <c r="AU39" s="111">
        <v>1</v>
      </c>
      <c r="AV39" s="35">
        <v>1</v>
      </c>
      <c r="AW39" s="35"/>
      <c r="AX39" s="35"/>
      <c r="AY39" s="35"/>
      <c r="AZ39" s="61">
        <f>+AU39*D39</f>
        <v>40</v>
      </c>
      <c r="BA39" s="61">
        <f>+AV39*D39</f>
        <v>40</v>
      </c>
      <c r="BB39" s="61">
        <f>+AW39*D39</f>
        <v>0</v>
      </c>
      <c r="BC39" s="61">
        <f>+BB39+BB39</f>
        <v>0</v>
      </c>
      <c r="BD39" s="61"/>
      <c r="BE39" s="61"/>
      <c r="BF39" s="61"/>
      <c r="BG39" s="61"/>
      <c r="BH39" s="61"/>
      <c r="BI39" s="61"/>
      <c r="BJ39" s="61"/>
      <c r="BK39" s="61"/>
      <c r="BL39" s="61"/>
    </row>
    <row r="40" spans="2:64" hidden="1" x14ac:dyDescent="0.2"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4"/>
      <c r="AO40" s="165"/>
      <c r="AP40" s="166"/>
      <c r="AQ40" s="166"/>
      <c r="AR40" s="166"/>
      <c r="AS40" s="166"/>
      <c r="AT40" s="167"/>
      <c r="AU40" s="107"/>
      <c r="AV40" s="107"/>
      <c r="AW40" s="96"/>
      <c r="AX40" s="35"/>
      <c r="AY40" s="35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</row>
    <row r="41" spans="2:64" hidden="1" x14ac:dyDescent="0.2">
      <c r="B41" s="114"/>
      <c r="C41" s="61"/>
      <c r="D41" s="37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>
        <v>1</v>
      </c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38">
        <f>(E41*E$4+F41*F$4+G41*G$4+H41*$H$4+I41*I$4+J41*J$4+K41*K$4+L41*L$4+O41*O$4+Q41*Q$4+M41*$M$4+N41*$N$4+R41*$R$4+S41*$S$4+T41*$T$4+U41*$U$4+P41*$P$4+V41*V4)/1000</f>
        <v>0</v>
      </c>
      <c r="AN41" s="37">
        <f>AM41*D41</f>
        <v>0</v>
      </c>
      <c r="AO41" s="61">
        <v>4</v>
      </c>
      <c r="AP41" s="61">
        <v>4</v>
      </c>
      <c r="AQ41" s="61"/>
      <c r="AR41" s="61">
        <v>1</v>
      </c>
      <c r="AS41" s="36">
        <f>AN41*VLOOKUP(AO41&amp;"-"&amp;AR41&amp;"F",tabla,2,FALSE)</f>
        <v>0</v>
      </c>
      <c r="AT41" s="115">
        <f>AS41+AT39</f>
        <v>0.70596398881999989</v>
      </c>
      <c r="AU41" s="111">
        <v>1</v>
      </c>
      <c r="AV41" s="35">
        <v>1</v>
      </c>
      <c r="AW41" s="35"/>
      <c r="AX41" s="35"/>
      <c r="AY41" s="35"/>
      <c r="AZ41" s="61">
        <f>+AU41*D41</f>
        <v>0</v>
      </c>
      <c r="BA41" s="61">
        <f>+AV41*D41</f>
        <v>0</v>
      </c>
      <c r="BB41" s="61">
        <f>+AW41*D41</f>
        <v>0</v>
      </c>
      <c r="BC41" s="61">
        <f>+BB41+BB41</f>
        <v>0</v>
      </c>
      <c r="BD41" s="61"/>
      <c r="BE41" s="61"/>
      <c r="BF41" s="61"/>
      <c r="BG41" s="61"/>
      <c r="BH41" s="61"/>
      <c r="BI41" s="61"/>
      <c r="BJ41" s="61"/>
      <c r="BK41" s="61"/>
      <c r="BL41" s="61"/>
    </row>
    <row r="42" spans="2:64" hidden="1" x14ac:dyDescent="0.2"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5"/>
      <c r="AP42" s="166"/>
      <c r="AQ42" s="166"/>
      <c r="AR42" s="166"/>
      <c r="AS42" s="166"/>
      <c r="AT42" s="167"/>
      <c r="AU42" s="174"/>
      <c r="AV42" s="174"/>
      <c r="AW42" s="174"/>
      <c r="AX42" s="35"/>
      <c r="AY42" s="35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</row>
    <row r="43" spans="2:64" hidden="1" x14ac:dyDescent="0.2">
      <c r="B43" s="114"/>
      <c r="C43" s="61"/>
      <c r="D43" s="37"/>
      <c r="E43" s="61"/>
      <c r="F43" s="61"/>
      <c r="G43" s="35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>
        <v>1</v>
      </c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38">
        <f>(E43*E$4+F43*F$4+G43*G$4+H43*$H$4+I43*I$4+J43*J$4+K43*K$4+L43*L$4+O43*O$4+Q43*Q$4+M43*$M$4+N43*$N$4+R43*$R$4+S43*$S$4+T43*$T$4+U43*$U$4+P43*$P$4+W43*W4)/1000</f>
        <v>0</v>
      </c>
      <c r="AN43" s="37">
        <f>AM43*D43</f>
        <v>0</v>
      </c>
      <c r="AO43" s="61">
        <v>4</v>
      </c>
      <c r="AP43" s="61">
        <v>4</v>
      </c>
      <c r="AQ43" s="61"/>
      <c r="AR43" s="61">
        <v>1</v>
      </c>
      <c r="AS43" s="36">
        <f>AN43*VLOOKUP(AO43&amp;"-"&amp;AR43&amp;"F",tabla,2,FALSE)</f>
        <v>0</v>
      </c>
      <c r="AT43" s="115">
        <f>AS43+AT41</f>
        <v>0.70596398881999989</v>
      </c>
      <c r="AU43" s="111">
        <v>1</v>
      </c>
      <c r="AV43" s="35">
        <v>1</v>
      </c>
      <c r="AW43" s="35"/>
      <c r="AX43" s="61"/>
      <c r="AY43" s="61"/>
      <c r="AZ43" s="61">
        <f>+AU43*D43</f>
        <v>0</v>
      </c>
      <c r="BA43" s="61">
        <f>+AV43*D43</f>
        <v>0</v>
      </c>
      <c r="BB43" s="61">
        <f>+AW43*D43</f>
        <v>0</v>
      </c>
      <c r="BC43" s="61">
        <f>+BB43+BB43</f>
        <v>0</v>
      </c>
      <c r="BD43" s="61"/>
      <c r="BE43" s="61"/>
      <c r="BF43" s="61"/>
      <c r="BG43" s="61"/>
      <c r="BH43" s="61"/>
      <c r="BI43" s="61"/>
      <c r="BJ43" s="61"/>
      <c r="BK43" s="61"/>
      <c r="BL43" s="61"/>
    </row>
    <row r="44" spans="2:64" hidden="1" x14ac:dyDescent="0.2"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4"/>
      <c r="AO44" s="165"/>
      <c r="AP44" s="166"/>
      <c r="AQ44" s="166"/>
      <c r="AR44" s="166"/>
      <c r="AS44" s="166"/>
      <c r="AT44" s="167"/>
      <c r="AU44" s="107"/>
      <c r="AV44" s="107"/>
      <c r="AW44" s="96"/>
      <c r="AX44" s="35"/>
      <c r="AY44" s="35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</row>
    <row r="45" spans="2:64" hidden="1" x14ac:dyDescent="0.2">
      <c r="B45" s="114"/>
      <c r="C45" s="61"/>
      <c r="D45" s="37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>
        <v>1</v>
      </c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38">
        <f>(E45*E$4+F45*F$4+G45*G$4+H45*$H$4+I45*I$4+J45*J$4+K45*K$4+L45*L$4+O45*O$4+Q45*Q$4+M45*$M$4+N45*$N$4+R45*$R$4+S45*$S$4+T45*$T$4+U45*$U$4+P45*$P$4+X45*X4)/1000</f>
        <v>0</v>
      </c>
      <c r="AN45" s="37">
        <f>AM45*D45</f>
        <v>0</v>
      </c>
      <c r="AO45" s="61">
        <v>4</v>
      </c>
      <c r="AP45" s="61">
        <v>4</v>
      </c>
      <c r="AQ45" s="61"/>
      <c r="AR45" s="61">
        <v>1</v>
      </c>
      <c r="AS45" s="36">
        <f>AN45*VLOOKUP(AO45&amp;"-"&amp;AR45&amp;"F",tabla,2,FALSE)</f>
        <v>0</v>
      </c>
      <c r="AT45" s="115">
        <f>AS45+AT43</f>
        <v>0.70596398881999989</v>
      </c>
      <c r="AU45" s="111">
        <v>1</v>
      </c>
      <c r="AV45" s="35">
        <v>1</v>
      </c>
      <c r="AW45" s="35"/>
      <c r="AX45" s="35"/>
      <c r="AY45" s="35"/>
      <c r="AZ45" s="61">
        <f>+AU45*D45</f>
        <v>0</v>
      </c>
      <c r="BA45" s="61">
        <f>+AV45*D45</f>
        <v>0</v>
      </c>
      <c r="BB45" s="61">
        <f>+AW45*D45</f>
        <v>0</v>
      </c>
      <c r="BC45" s="61">
        <f>+BB45+BB45</f>
        <v>0</v>
      </c>
      <c r="BD45" s="61"/>
      <c r="BE45" s="61"/>
      <c r="BF45" s="61"/>
      <c r="BG45" s="61"/>
      <c r="BH45" s="61"/>
      <c r="BI45" s="61"/>
      <c r="BJ45" s="61"/>
      <c r="BK45" s="61"/>
      <c r="BL45" s="61"/>
    </row>
    <row r="46" spans="2:64" hidden="1" x14ac:dyDescent="0.2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4"/>
      <c r="AO46" s="165"/>
      <c r="AP46" s="166"/>
      <c r="AQ46" s="166"/>
      <c r="AR46" s="166"/>
      <c r="AS46" s="166"/>
      <c r="AT46" s="167"/>
      <c r="AU46" s="107"/>
      <c r="AV46" s="107"/>
      <c r="AW46" s="96"/>
      <c r="AX46" s="35"/>
      <c r="AY46" s="35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</row>
    <row r="47" spans="2:64" hidden="1" x14ac:dyDescent="0.2">
      <c r="B47" s="114"/>
      <c r="C47" s="61"/>
      <c r="D47" s="37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>
        <v>1</v>
      </c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38">
        <f>(E47*E$4+F47*F$4+G47*G$4+H47*$H$4+I47*I$4+J47*J$4+K47*K$4+L47*L$4+O47*O$4+Q47*Q$4+M47*$M$4+N47*$N$4+R47*$R$4+S47*$S$4+T47*$T$4+U47*$U$4+P47*$P$4+Y47*Y4)/1000</f>
        <v>0</v>
      </c>
      <c r="AN47" s="37">
        <f>AM47*D47</f>
        <v>0</v>
      </c>
      <c r="AO47" s="61">
        <v>4</v>
      </c>
      <c r="AP47" s="61">
        <v>4</v>
      </c>
      <c r="AQ47" s="61"/>
      <c r="AR47" s="61">
        <v>1</v>
      </c>
      <c r="AS47" s="36">
        <f>AN47*VLOOKUP(AO47&amp;"-"&amp;AR47&amp;"F",tabla,2,FALSE)</f>
        <v>0</v>
      </c>
      <c r="AT47" s="115">
        <f>AS47+AT43</f>
        <v>0.70596398881999989</v>
      </c>
      <c r="AU47" s="111">
        <v>1</v>
      </c>
      <c r="AV47" s="35">
        <v>1</v>
      </c>
      <c r="AW47" s="35"/>
      <c r="AX47" s="35"/>
      <c r="AY47" s="35"/>
      <c r="AZ47" s="61">
        <f>+AU47*D47</f>
        <v>0</v>
      </c>
      <c r="BA47" s="61">
        <f>+AV47*D47</f>
        <v>0</v>
      </c>
      <c r="BB47" s="61">
        <f>+AW47*D47</f>
        <v>0</v>
      </c>
      <c r="BC47" s="61">
        <f>+BB47+BB47</f>
        <v>0</v>
      </c>
      <c r="BD47" s="61"/>
      <c r="BE47" s="61"/>
      <c r="BF47" s="61"/>
      <c r="BG47" s="61"/>
      <c r="BH47" s="61"/>
      <c r="BI47" s="61"/>
      <c r="BJ47" s="61"/>
      <c r="BK47" s="61"/>
      <c r="BL47" s="61"/>
    </row>
    <row r="48" spans="2:64" hidden="1" x14ac:dyDescent="0.2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4"/>
      <c r="AO48" s="165"/>
      <c r="AP48" s="166"/>
      <c r="AQ48" s="166"/>
      <c r="AR48" s="166"/>
      <c r="AS48" s="166"/>
      <c r="AT48" s="167"/>
      <c r="AU48" s="166"/>
      <c r="AV48" s="166"/>
      <c r="AW48" s="188"/>
      <c r="AX48" s="35"/>
      <c r="AY48" s="35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</row>
    <row r="49" spans="2:64" hidden="1" x14ac:dyDescent="0.2">
      <c r="B49" s="114"/>
      <c r="C49" s="61"/>
      <c r="D49" s="37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>
        <v>1</v>
      </c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38">
        <f>(E49*E$4+F49*F$4+G49*G$4+H49*$H$4+I49*I$4+J49*J$4+K49*K$4+L49*L$4+O49*O$4+Q49*Q$4+M49*$M$4+N49*$N$4+R49*$R$4+S49*$S$4+T49*$T$4+U49*$U$4+P49*$P$4+Z49*Z4)/1000</f>
        <v>0</v>
      </c>
      <c r="AN49" s="37">
        <f>AM49*D49</f>
        <v>0</v>
      </c>
      <c r="AO49" s="61">
        <v>4</v>
      </c>
      <c r="AP49" s="61">
        <v>4</v>
      </c>
      <c r="AQ49" s="61"/>
      <c r="AR49" s="61">
        <v>1</v>
      </c>
      <c r="AS49" s="36">
        <f>AN49*VLOOKUP(AO49&amp;"-"&amp;AR49&amp;"F",tabla,2,FALSE)</f>
        <v>0</v>
      </c>
      <c r="AT49" s="115">
        <f>AS49+AT47</f>
        <v>0.70596398881999989</v>
      </c>
      <c r="AU49" s="111">
        <v>1</v>
      </c>
      <c r="AV49" s="35">
        <v>1</v>
      </c>
      <c r="AW49" s="35"/>
      <c r="AX49" s="35"/>
      <c r="AY49" s="35"/>
      <c r="AZ49" s="61">
        <f>+AU49*D49</f>
        <v>0</v>
      </c>
      <c r="BA49" s="61">
        <f>+AV49*D49</f>
        <v>0</v>
      </c>
      <c r="BB49" s="61">
        <f>+AW49*D49</f>
        <v>0</v>
      </c>
      <c r="BC49" s="61">
        <f>+BB49+BB49</f>
        <v>0</v>
      </c>
      <c r="BD49" s="61"/>
      <c r="BE49" s="61"/>
      <c r="BF49" s="61"/>
      <c r="BG49" s="61"/>
      <c r="BH49" s="61"/>
      <c r="BI49" s="61"/>
      <c r="BJ49" s="61"/>
      <c r="BK49" s="61"/>
      <c r="BL49" s="61"/>
    </row>
    <row r="50" spans="2:64" hidden="1" x14ac:dyDescent="0.2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4"/>
      <c r="AO50" s="165"/>
      <c r="AP50" s="166"/>
      <c r="AQ50" s="166"/>
      <c r="AR50" s="166"/>
      <c r="AS50" s="166"/>
      <c r="AT50" s="167"/>
      <c r="AU50" s="107"/>
      <c r="AV50" s="107"/>
      <c r="AW50" s="96"/>
      <c r="AX50" s="35"/>
      <c r="AY50" s="35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</row>
    <row r="51" spans="2:64" hidden="1" x14ac:dyDescent="0.2">
      <c r="B51" s="114"/>
      <c r="C51" s="61"/>
      <c r="D51" s="37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>
        <v>1</v>
      </c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38">
        <f>(E51*E$4+F51*F$4+G51*G$4+H51*$H$4+I51*I$4+J51*J$4+K51*K$4+L51*L$4+O51*O$4+Q51*Q$4+M51*$M$4+N51*$N$4+R51*$R$4+S51*$S$4+T51*$T$4+U51*$U$4+P51*$P$4+AA51*AA4)/1000</f>
        <v>0</v>
      </c>
      <c r="AN51" s="37">
        <f>AM51*D51</f>
        <v>0</v>
      </c>
      <c r="AO51" s="61">
        <v>4</v>
      </c>
      <c r="AP51" s="61">
        <v>4</v>
      </c>
      <c r="AQ51" s="61"/>
      <c r="AR51" s="61">
        <v>1</v>
      </c>
      <c r="AS51" s="36">
        <f>AN51*VLOOKUP(AO51&amp;"-"&amp;AR51&amp;"F",tabla,2,FALSE)</f>
        <v>0</v>
      </c>
      <c r="AT51" s="115">
        <f>AS51+AT41</f>
        <v>0.70596398881999989</v>
      </c>
      <c r="AU51" s="111">
        <v>1</v>
      </c>
      <c r="AV51" s="35">
        <v>1</v>
      </c>
      <c r="AW51" s="35"/>
      <c r="AX51" s="35"/>
      <c r="AY51" s="35"/>
      <c r="AZ51" s="61">
        <f>+AU51*D51</f>
        <v>0</v>
      </c>
      <c r="BA51" s="61">
        <f>+AV51*D51</f>
        <v>0</v>
      </c>
      <c r="BB51" s="61">
        <f>+AW51*D51</f>
        <v>0</v>
      </c>
      <c r="BC51" s="61">
        <f>+BB51+BB51</f>
        <v>0</v>
      </c>
      <c r="BD51" s="61"/>
      <c r="BE51" s="61"/>
      <c r="BF51" s="61"/>
      <c r="BG51" s="61"/>
      <c r="BH51" s="61"/>
      <c r="BI51" s="61"/>
      <c r="BJ51" s="61"/>
      <c r="BK51" s="61"/>
      <c r="BL51" s="61"/>
    </row>
    <row r="52" spans="2:64" hidden="1" x14ac:dyDescent="0.2"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5"/>
      <c r="AP52" s="166"/>
      <c r="AQ52" s="166"/>
      <c r="AR52" s="166"/>
      <c r="AS52" s="166"/>
      <c r="AT52" s="167"/>
      <c r="AU52" s="174"/>
      <c r="AV52" s="174"/>
      <c r="AW52" s="174"/>
      <c r="AX52" s="35"/>
      <c r="AY52" s="35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2:64" hidden="1" x14ac:dyDescent="0.2">
      <c r="B53" s="114"/>
      <c r="C53" s="61"/>
      <c r="D53" s="37"/>
      <c r="E53" s="61"/>
      <c r="F53" s="61"/>
      <c r="G53" s="35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>
        <v>1</v>
      </c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38">
        <f>(E53*E$4+F53*F$4+G53*G$4+H53*$H$4+I53*I$4+J53*J$4+K53*K$4+L53*L$4+O53*O$4+Q53*Q$4+M53*$M$4+N53*$N$4+R53*$R$4+S53*$S$4+T53*$T$4+U53*$U$4+P53*$P$4+AB53*AB4)/1000</f>
        <v>0</v>
      </c>
      <c r="AN53" s="37">
        <f>AM53*D53</f>
        <v>0</v>
      </c>
      <c r="AO53" s="61">
        <v>4</v>
      </c>
      <c r="AP53" s="61">
        <v>4</v>
      </c>
      <c r="AQ53" s="61"/>
      <c r="AR53" s="61">
        <v>1</v>
      </c>
      <c r="AS53" s="36">
        <f>AN53*VLOOKUP(AO53&amp;"-"&amp;AR53&amp;"F",tabla,2,FALSE)</f>
        <v>0</v>
      </c>
      <c r="AT53" s="115">
        <f>AS53+AT51</f>
        <v>0.70596398881999989</v>
      </c>
      <c r="AU53" s="111">
        <v>1</v>
      </c>
      <c r="AV53" s="35">
        <v>1</v>
      </c>
      <c r="AW53" s="35"/>
      <c r="AX53" s="61"/>
      <c r="AY53" s="61"/>
      <c r="AZ53" s="61">
        <f>+AU53*D53</f>
        <v>0</v>
      </c>
      <c r="BA53" s="61">
        <f>+AV53*D53</f>
        <v>0</v>
      </c>
      <c r="BB53" s="61">
        <f>+AW53*D53</f>
        <v>0</v>
      </c>
      <c r="BC53" s="61">
        <f>+BB53+BB53</f>
        <v>0</v>
      </c>
      <c r="BD53" s="61"/>
      <c r="BE53" s="61"/>
      <c r="BF53" s="61"/>
      <c r="BG53" s="61"/>
      <c r="BH53" s="61"/>
      <c r="BI53" s="61"/>
      <c r="BJ53" s="61"/>
      <c r="BK53" s="61"/>
      <c r="BL53" s="61"/>
    </row>
    <row r="54" spans="2:64" hidden="1" x14ac:dyDescent="0.2"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4"/>
      <c r="AO54" s="165"/>
      <c r="AP54" s="166"/>
      <c r="AQ54" s="166"/>
      <c r="AR54" s="166"/>
      <c r="AS54" s="166"/>
      <c r="AT54" s="167"/>
      <c r="AU54" s="107"/>
      <c r="AV54" s="107"/>
      <c r="AW54" s="96"/>
      <c r="AX54" s="35"/>
      <c r="AY54" s="35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2:64" hidden="1" x14ac:dyDescent="0.2">
      <c r="B55" s="114">
        <v>24</v>
      </c>
      <c r="C55" s="61">
        <f>C53+1</f>
        <v>1</v>
      </c>
      <c r="D55" s="37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>
        <v>1</v>
      </c>
      <c r="AD55" s="61"/>
      <c r="AE55" s="61"/>
      <c r="AF55" s="61"/>
      <c r="AG55" s="61"/>
      <c r="AH55" s="61"/>
      <c r="AI55" s="61"/>
      <c r="AJ55" s="61"/>
      <c r="AK55" s="61"/>
      <c r="AL55" s="61"/>
      <c r="AM55" s="38">
        <f>(E55*E$4+F55*F$4+G55*G$4+H55*$H$4+I55*I$4+J55*J$4+K55*K$4+L55*L$4+O55*O$4+Q55*Q$4+M55*$M$4+N55*$N$4+R55*$R$4+S55*$S$4+T55*$T$4+U55*$U$4+P55*$P$4+AC55*AC4)/1000</f>
        <v>0</v>
      </c>
      <c r="AN55" s="37">
        <f>AM55*D55</f>
        <v>0</v>
      </c>
      <c r="AO55" s="61">
        <v>4</v>
      </c>
      <c r="AP55" s="61">
        <v>4</v>
      </c>
      <c r="AQ55" s="61"/>
      <c r="AR55" s="61">
        <v>1</v>
      </c>
      <c r="AS55" s="36">
        <f>AN55*VLOOKUP(AO55&amp;"-"&amp;AR55&amp;"F",tabla,2,FALSE)</f>
        <v>0</v>
      </c>
      <c r="AT55" s="115">
        <f>AS55+AT53</f>
        <v>0.70596398881999989</v>
      </c>
      <c r="AU55" s="111">
        <v>1</v>
      </c>
      <c r="AV55" s="35">
        <v>1</v>
      </c>
      <c r="AW55" s="35"/>
      <c r="AX55" s="35"/>
      <c r="AY55" s="35"/>
      <c r="AZ55" s="61">
        <f>+AU55*D55</f>
        <v>0</v>
      </c>
      <c r="BA55" s="61">
        <f>+AV55*D55</f>
        <v>0</v>
      </c>
      <c r="BB55" s="61">
        <f>+AW55*D55</f>
        <v>0</v>
      </c>
      <c r="BC55" s="61">
        <f>+BB55+BB55</f>
        <v>0</v>
      </c>
      <c r="BD55" s="61"/>
      <c r="BE55" s="61"/>
      <c r="BF55" s="61"/>
      <c r="BG55" s="61"/>
      <c r="BH55" s="61"/>
      <c r="BI55" s="61"/>
      <c r="BJ55" s="61"/>
      <c r="BK55" s="61"/>
      <c r="BL55" s="61"/>
    </row>
    <row r="56" spans="2:64" hidden="1" x14ac:dyDescent="0.2"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4"/>
      <c r="AO56" s="165"/>
      <c r="AP56" s="166"/>
      <c r="AQ56" s="166"/>
      <c r="AR56" s="166"/>
      <c r="AS56" s="166"/>
      <c r="AT56" s="167"/>
      <c r="AU56" s="107"/>
      <c r="AV56" s="107"/>
      <c r="AW56" s="96"/>
      <c r="AX56" s="35"/>
      <c r="AY56" s="35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2:64" hidden="1" x14ac:dyDescent="0.2">
      <c r="B57" s="114">
        <v>25</v>
      </c>
      <c r="C57" s="61">
        <f>C55+1</f>
        <v>2</v>
      </c>
      <c r="D57" s="37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>
        <v>1</v>
      </c>
      <c r="AE57" s="61"/>
      <c r="AF57" s="61"/>
      <c r="AG57" s="61"/>
      <c r="AH57" s="61"/>
      <c r="AI57" s="61"/>
      <c r="AJ57" s="61"/>
      <c r="AK57" s="61"/>
      <c r="AL57" s="61"/>
      <c r="AM57" s="38">
        <f>(E57*E$4+F57*F$4+G57*G$4+H57*$H$4+I57*I$4+J57*J$4+K57*K$4+L57*L$4+O57*O$4+Q57*Q$4+M57*$M$4+N57*$N$4+R57*$R$4+S57*$S$4+T57*$T$4+U57*$U$4+P57*$P$4+AD57*AD4)/1000</f>
        <v>0</v>
      </c>
      <c r="AN57" s="37">
        <f>AM57*D57</f>
        <v>0</v>
      </c>
      <c r="AO57" s="61">
        <v>4</v>
      </c>
      <c r="AP57" s="61">
        <v>4</v>
      </c>
      <c r="AQ57" s="61"/>
      <c r="AR57" s="61">
        <v>1</v>
      </c>
      <c r="AS57" s="36">
        <f>AN57*VLOOKUP(AO57&amp;"-"&amp;AR57&amp;"F",tabla,2,FALSE)</f>
        <v>0</v>
      </c>
      <c r="AT57" s="115">
        <f>AS57+AT55</f>
        <v>0.70596398881999989</v>
      </c>
      <c r="AU57" s="111">
        <v>1</v>
      </c>
      <c r="AV57" s="35">
        <v>1</v>
      </c>
      <c r="AW57" s="35"/>
      <c r="AX57" s="35"/>
      <c r="AY57" s="35"/>
      <c r="AZ57" s="61">
        <f>+AU57*D57</f>
        <v>0</v>
      </c>
      <c r="BA57" s="61">
        <f>+AV57*D57</f>
        <v>0</v>
      </c>
      <c r="BB57" s="61">
        <f>+AW57*D57</f>
        <v>0</v>
      </c>
      <c r="BC57" s="61">
        <f>+BB57+BB57</f>
        <v>0</v>
      </c>
      <c r="BD57" s="61"/>
      <c r="BE57" s="61"/>
      <c r="BF57" s="61"/>
      <c r="BG57" s="61"/>
      <c r="BH57" s="61"/>
      <c r="BI57" s="61"/>
      <c r="BJ57" s="61"/>
      <c r="BK57" s="61"/>
      <c r="BL57" s="61"/>
    </row>
    <row r="58" spans="2:64" hidden="1" x14ac:dyDescent="0.2">
      <c r="B58" s="117"/>
      <c r="C58" s="3"/>
      <c r="D58" s="10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104"/>
      <c r="AN58" s="103"/>
      <c r="AO58" s="3"/>
      <c r="AP58" s="3"/>
      <c r="AQ58" s="3"/>
      <c r="AR58" s="3"/>
      <c r="AS58" s="105"/>
      <c r="AT58" s="118"/>
      <c r="AU58" s="106"/>
      <c r="AV58" s="106"/>
      <c r="AW58" s="106"/>
      <c r="AX58" s="106"/>
      <c r="AY58" s="106"/>
      <c r="AZ58" s="3"/>
      <c r="BA58" s="3"/>
      <c r="BB58" s="3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2:64" hidden="1" x14ac:dyDescent="0.2">
      <c r="B59" s="114">
        <v>26</v>
      </c>
      <c r="C59" s="61">
        <f>C57+1</f>
        <v>3</v>
      </c>
      <c r="D59" s="37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>
        <v>1</v>
      </c>
      <c r="AF59" s="61"/>
      <c r="AG59" s="61"/>
      <c r="AH59" s="61"/>
      <c r="AI59" s="61"/>
      <c r="AJ59" s="61"/>
      <c r="AK59" s="61"/>
      <c r="AL59" s="61"/>
      <c r="AM59" s="38">
        <f>(E59*E$4+F59*F$4+G59*G$4+H59*$H$4+I59*I$4+J59*J$4+K59*K$4+L59*L$4+O59*O$4+Q59*Q$4+M59*$M$4+N59*$N$4+R59*$R$4+S59*$S$4+T59*$T$4+U59*$U$4+P59*$P$4+AE59*AE4)/1000</f>
        <v>0</v>
      </c>
      <c r="AN59" s="37">
        <f>AM59*D59</f>
        <v>0</v>
      </c>
      <c r="AO59" s="61">
        <v>4</v>
      </c>
      <c r="AP59" s="61">
        <v>4</v>
      </c>
      <c r="AQ59" s="61"/>
      <c r="AR59" s="61">
        <v>1</v>
      </c>
      <c r="AS59" s="36">
        <f>AN59*VLOOKUP(AO59&amp;"-"&amp;AR59&amp;"F",tabla,2,FALSE)</f>
        <v>0</v>
      </c>
      <c r="AT59" s="115">
        <f>AS59+AT57</f>
        <v>0.70596398881999989</v>
      </c>
      <c r="AU59" s="111">
        <v>1</v>
      </c>
      <c r="AV59" s="35">
        <v>1</v>
      </c>
      <c r="AW59" s="35"/>
      <c r="AX59" s="35"/>
      <c r="AY59" s="35"/>
      <c r="AZ59" s="61">
        <f>+AU59*D59</f>
        <v>0</v>
      </c>
      <c r="BA59" s="61">
        <f>+AV59*D59</f>
        <v>0</v>
      </c>
      <c r="BB59" s="61">
        <f>+AW59*D59</f>
        <v>0</v>
      </c>
      <c r="BC59" s="61">
        <f>+BB59+BB59</f>
        <v>0</v>
      </c>
      <c r="BD59" s="61"/>
      <c r="BE59" s="61"/>
      <c r="BF59" s="61"/>
      <c r="BG59" s="61"/>
      <c r="BH59" s="61"/>
      <c r="BI59" s="61"/>
      <c r="BJ59" s="61"/>
      <c r="BK59" s="61"/>
      <c r="BL59" s="61"/>
    </row>
    <row r="60" spans="2:64" hidden="1" x14ac:dyDescent="0.2"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5"/>
      <c r="AP60" s="166"/>
      <c r="AQ60" s="166"/>
      <c r="AR60" s="166"/>
      <c r="AS60" s="166"/>
      <c r="AT60" s="167"/>
      <c r="AU60" s="174"/>
      <c r="AV60" s="174"/>
      <c r="AW60" s="174"/>
      <c r="AX60" s="35"/>
      <c r="AY60" s="35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2:64" hidden="1" x14ac:dyDescent="0.2">
      <c r="B61" s="114">
        <v>27</v>
      </c>
      <c r="C61" s="61">
        <v>28</v>
      </c>
      <c r="D61" s="37"/>
      <c r="E61" s="61"/>
      <c r="F61" s="61"/>
      <c r="G61" s="35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>
        <v>1</v>
      </c>
      <c r="AG61" s="61"/>
      <c r="AH61" s="61"/>
      <c r="AI61" s="61"/>
      <c r="AJ61" s="61"/>
      <c r="AK61" s="61"/>
      <c r="AL61" s="61"/>
      <c r="AM61" s="38">
        <f>(E61*E$4+F61*F$4+G61*G$4+H61*$H$4+I61*I$4+J61*J$4+K61*K$4+L61*L$4+O61*O$4+Q61*Q$4+M61*$M$4+N61*$N$4+R61*$R$4+S61*$S$4+T61*$T$4+U61*$U$4+P61*$P$4+AF61*AF4)/1000</f>
        <v>0</v>
      </c>
      <c r="AN61" s="37">
        <f>AM61*D61</f>
        <v>0</v>
      </c>
      <c r="AO61" s="61">
        <v>4</v>
      </c>
      <c r="AP61" s="61">
        <v>4</v>
      </c>
      <c r="AQ61" s="61"/>
      <c r="AR61" s="61">
        <v>1</v>
      </c>
      <c r="AS61" s="36">
        <f>AN61*VLOOKUP(AO61&amp;"-"&amp;AR61&amp;"F",tabla,2,FALSE)</f>
        <v>0</v>
      </c>
      <c r="AT61" s="115">
        <f>AS61+AT59</f>
        <v>0.70596398881999989</v>
      </c>
      <c r="AU61" s="111">
        <v>1</v>
      </c>
      <c r="AV61" s="35">
        <v>1</v>
      </c>
      <c r="AW61" s="35"/>
      <c r="AX61" s="61"/>
      <c r="AY61" s="61"/>
      <c r="AZ61" s="61">
        <f>+AU61*D61</f>
        <v>0</v>
      </c>
      <c r="BA61" s="61">
        <f>+AV61*D61</f>
        <v>0</v>
      </c>
      <c r="BB61" s="61">
        <f>+AW61*D61</f>
        <v>0</v>
      </c>
      <c r="BC61" s="61">
        <f>+BB61+BB61</f>
        <v>0</v>
      </c>
      <c r="BD61" s="61"/>
      <c r="BE61" s="61"/>
      <c r="BF61" s="61"/>
      <c r="BG61" s="61"/>
      <c r="BH61" s="61"/>
      <c r="BI61" s="61"/>
      <c r="BJ61" s="61"/>
      <c r="BK61" s="61"/>
      <c r="BL61" s="61"/>
    </row>
    <row r="62" spans="2:64" hidden="1" x14ac:dyDescent="0.2"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4"/>
      <c r="AO62" s="165"/>
      <c r="AP62" s="166"/>
      <c r="AQ62" s="166"/>
      <c r="AR62" s="166"/>
      <c r="AS62" s="166"/>
      <c r="AT62" s="167"/>
      <c r="AU62" s="107"/>
      <c r="AV62" s="107"/>
      <c r="AW62" s="96"/>
      <c r="AX62" s="35"/>
      <c r="AY62" s="35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2:64" hidden="1" x14ac:dyDescent="0.2">
      <c r="B63" s="114">
        <v>28</v>
      </c>
      <c r="C63" s="61">
        <v>29</v>
      </c>
      <c r="D63" s="37"/>
      <c r="E63" s="61"/>
      <c r="F63" s="61"/>
      <c r="G63" s="35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>
        <v>1</v>
      </c>
      <c r="AH63" s="61"/>
      <c r="AI63" s="61"/>
      <c r="AJ63" s="61"/>
      <c r="AK63" s="61"/>
      <c r="AL63" s="61"/>
      <c r="AM63" s="38">
        <f>(E63*E$4+F63*F$4+G63*G$4+H63*$H$4+I63*I$4+J63*J$4+K63*K$4+L63*L$4+O63*O$4+Q63*Q$4+M63*$M$4+N63*$N$4+R63*$R$4+S63*$S$4+T63*$T$4+U63*$U$4+P63*$P$4+AF63*AF6+AG63*AG4)/1000</f>
        <v>0</v>
      </c>
      <c r="AN63" s="37">
        <f>AM63*D63</f>
        <v>0</v>
      </c>
      <c r="AO63" s="61">
        <v>4</v>
      </c>
      <c r="AP63" s="61">
        <v>4</v>
      </c>
      <c r="AQ63" s="61"/>
      <c r="AR63" s="61">
        <v>1</v>
      </c>
      <c r="AS63" s="36">
        <f>AN63*VLOOKUP(AO63&amp;"-"&amp;AR63&amp;"F",tabla,2,FALSE)</f>
        <v>0</v>
      </c>
      <c r="AT63" s="115">
        <f>AS63+AT59</f>
        <v>0.70596398881999989</v>
      </c>
      <c r="AU63" s="111">
        <v>1</v>
      </c>
      <c r="AV63" s="35">
        <v>1</v>
      </c>
      <c r="AW63" s="35"/>
      <c r="AX63" s="61"/>
      <c r="AY63" s="61"/>
      <c r="AZ63" s="61">
        <f>+AU63*D63</f>
        <v>0</v>
      </c>
      <c r="BA63" s="61">
        <f>+AV63*D63</f>
        <v>0</v>
      </c>
      <c r="BB63" s="61">
        <f>+AW63*D63</f>
        <v>0</v>
      </c>
      <c r="BC63" s="61">
        <f>+BB63+BB63</f>
        <v>0</v>
      </c>
      <c r="BD63" s="61"/>
      <c r="BE63" s="61"/>
      <c r="BF63" s="61"/>
      <c r="BG63" s="61"/>
      <c r="BH63" s="61"/>
      <c r="BI63" s="61"/>
      <c r="BJ63" s="61"/>
      <c r="BK63" s="61"/>
      <c r="BL63" s="61"/>
    </row>
    <row r="64" spans="2:64" hidden="1" x14ac:dyDescent="0.2"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4"/>
      <c r="AO64" s="165"/>
      <c r="AP64" s="166"/>
      <c r="AQ64" s="166"/>
      <c r="AR64" s="166"/>
      <c r="AS64" s="166"/>
      <c r="AT64" s="167"/>
      <c r="AU64" s="107"/>
      <c r="AV64" s="107"/>
      <c r="AW64" s="96"/>
      <c r="AX64" s="35"/>
      <c r="AY64" s="35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</row>
    <row r="65" spans="2:64" hidden="1" x14ac:dyDescent="0.2">
      <c r="B65" s="114">
        <v>29</v>
      </c>
      <c r="C65" s="61">
        <v>30</v>
      </c>
      <c r="D65" s="37"/>
      <c r="E65" s="61"/>
      <c r="F65" s="61"/>
      <c r="G65" s="35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>
        <v>1</v>
      </c>
      <c r="AI65" s="61"/>
      <c r="AJ65" s="61"/>
      <c r="AK65" s="61"/>
      <c r="AL65" s="61"/>
      <c r="AM65" s="38">
        <f>(E65*E$4+F65*F$4+G65*G$4+H65*$H$4+I65*I$4+J65*J$4+K65*K$4+L65*L$4+O65*O$4+Q65*Q$4+M65*$M$4+N65*$N$4+R65*$R$4+S65*$S$4+T65*$T$4+U65*$U$4+P65*$P$4+AF65*AF8+AH65*AH4)/1000</f>
        <v>0</v>
      </c>
      <c r="AN65" s="37">
        <f>AM65*D65</f>
        <v>0</v>
      </c>
      <c r="AO65" s="61">
        <v>4</v>
      </c>
      <c r="AP65" s="61">
        <v>4</v>
      </c>
      <c r="AQ65" s="61"/>
      <c r="AR65" s="61">
        <v>1</v>
      </c>
      <c r="AS65" s="36">
        <f>AN65*VLOOKUP(AO65&amp;"-"&amp;AR65&amp;"F",tabla,2,FALSE)</f>
        <v>0</v>
      </c>
      <c r="AT65" s="115">
        <f>AS65+AT63</f>
        <v>0.70596398881999989</v>
      </c>
      <c r="AU65" s="111">
        <v>1</v>
      </c>
      <c r="AV65" s="35">
        <v>1</v>
      </c>
      <c r="AW65" s="35"/>
      <c r="AX65" s="61"/>
      <c r="AY65" s="61"/>
      <c r="AZ65" s="61">
        <f>+AU65*D65</f>
        <v>0</v>
      </c>
      <c r="BA65" s="61">
        <f>+AV65*D65</f>
        <v>0</v>
      </c>
      <c r="BB65" s="61">
        <f>+AW65*D65</f>
        <v>0</v>
      </c>
      <c r="BC65" s="61">
        <f>+BB65+BB65</f>
        <v>0</v>
      </c>
      <c r="BD65" s="61"/>
      <c r="BE65" s="61"/>
      <c r="BF65" s="61"/>
      <c r="BG65" s="61"/>
      <c r="BH65" s="61"/>
      <c r="BI65" s="61"/>
      <c r="BJ65" s="61"/>
      <c r="BK65" s="61"/>
      <c r="BL65" s="61"/>
    </row>
    <row r="66" spans="2:64" hidden="1" x14ac:dyDescent="0.2"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4"/>
      <c r="AO66" s="165"/>
      <c r="AP66" s="166"/>
      <c r="AQ66" s="166"/>
      <c r="AR66" s="166"/>
      <c r="AS66" s="166"/>
      <c r="AT66" s="167"/>
      <c r="AU66" s="107"/>
      <c r="AV66" s="107"/>
      <c r="AW66" s="96"/>
      <c r="AX66" s="35"/>
      <c r="AY66" s="35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</row>
    <row r="67" spans="2:64" hidden="1" x14ac:dyDescent="0.2">
      <c r="B67" s="114">
        <v>30</v>
      </c>
      <c r="C67" s="61">
        <v>31</v>
      </c>
      <c r="D67" s="37"/>
      <c r="E67" s="61"/>
      <c r="F67" s="61"/>
      <c r="G67" s="35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>
        <v>1</v>
      </c>
      <c r="AJ67" s="61"/>
      <c r="AK67" s="61"/>
      <c r="AL67" s="61"/>
      <c r="AM67" s="38">
        <f>(E67*E$4+F67*F$4+G67*G$4+H67*$H$4+I67*I$4+J67*J$4+K67*K$4+L67*L$4+O67*O$4+Q67*Q$4+M67*$M$4+N67*$N$4+R67*$R$4+S67*$S$4+T67*$T$4+U67*$U$4+P67*$P$4+AF67*AF10+AI67*AI4)/1000</f>
        <v>0</v>
      </c>
      <c r="AN67" s="37">
        <f>AM67*D67</f>
        <v>0</v>
      </c>
      <c r="AO67" s="61">
        <v>4</v>
      </c>
      <c r="AP67" s="61">
        <v>4</v>
      </c>
      <c r="AQ67" s="61"/>
      <c r="AR67" s="61">
        <v>1</v>
      </c>
      <c r="AS67" s="36">
        <f>AN67*VLOOKUP(AO67&amp;"-"&amp;AR67&amp;"F",tabla,2,FALSE)</f>
        <v>0</v>
      </c>
      <c r="AT67" s="115">
        <f>AS67+AT65</f>
        <v>0.70596398881999989</v>
      </c>
      <c r="AU67" s="111">
        <v>1</v>
      </c>
      <c r="AV67" s="35">
        <v>1</v>
      </c>
      <c r="AW67" s="35"/>
      <c r="AX67" s="61"/>
      <c r="AY67" s="61"/>
      <c r="AZ67" s="61">
        <f>+AU67*D67</f>
        <v>0</v>
      </c>
      <c r="BA67" s="61">
        <f>+AV67*D67</f>
        <v>0</v>
      </c>
      <c r="BB67" s="61">
        <f>+AW67*D67</f>
        <v>0</v>
      </c>
      <c r="BC67" s="61">
        <f>+BB67+BB67</f>
        <v>0</v>
      </c>
      <c r="BD67" s="61"/>
      <c r="BE67" s="61"/>
      <c r="BF67" s="61"/>
      <c r="BG67" s="61"/>
      <c r="BH67" s="61"/>
      <c r="BI67" s="61"/>
      <c r="BJ67" s="61"/>
      <c r="BK67" s="61"/>
      <c r="BL67" s="61"/>
    </row>
    <row r="68" spans="2:64" hidden="1" x14ac:dyDescent="0.2"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4"/>
      <c r="AO68" s="165"/>
      <c r="AP68" s="166"/>
      <c r="AQ68" s="166"/>
      <c r="AR68" s="166"/>
      <c r="AS68" s="166"/>
      <c r="AT68" s="167"/>
      <c r="AU68" s="107"/>
      <c r="AV68" s="107"/>
      <c r="AW68" s="96"/>
      <c r="AX68" s="35"/>
      <c r="AY68" s="35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</row>
    <row r="69" spans="2:64" hidden="1" x14ac:dyDescent="0.2">
      <c r="B69" s="114">
        <v>31</v>
      </c>
      <c r="C69" s="61">
        <v>32</v>
      </c>
      <c r="D69" s="37"/>
      <c r="E69" s="61"/>
      <c r="F69" s="61"/>
      <c r="G69" s="35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>
        <v>1</v>
      </c>
      <c r="AK69" s="61"/>
      <c r="AL69" s="61"/>
      <c r="AM69" s="38">
        <f>(E69*E$4+F69*F$4+G69*G$4+H69*$H$4+I69*I$4+J69*J$4+K69*K$4+L69*L$4+O69*O$4+Q69*Q$4+M69*$M$4+N69*$N$4+R69*$R$4+S69*$S$4+T69*$T$4+U69*$U$4+P69*$P$4+AF69*AF12+AJ69*AJ4)/1000</f>
        <v>0</v>
      </c>
      <c r="AN69" s="37">
        <f>AM69*D69</f>
        <v>0</v>
      </c>
      <c r="AO69" s="61">
        <v>4</v>
      </c>
      <c r="AP69" s="61">
        <v>4</v>
      </c>
      <c r="AQ69" s="61"/>
      <c r="AR69" s="61">
        <v>1</v>
      </c>
      <c r="AS69" s="36">
        <f>AN69*VLOOKUP(AO69&amp;"-"&amp;AR69&amp;"F",tabla,2,FALSE)</f>
        <v>0</v>
      </c>
      <c r="AT69" s="115">
        <f>AS69+AT67</f>
        <v>0.70596398881999989</v>
      </c>
      <c r="AU69" s="111">
        <v>1</v>
      </c>
      <c r="AV69" s="35">
        <v>1</v>
      </c>
      <c r="AW69" s="35"/>
      <c r="AX69" s="61"/>
      <c r="AY69" s="61"/>
      <c r="AZ69" s="61">
        <f>+AU69*D69</f>
        <v>0</v>
      </c>
      <c r="BA69" s="61">
        <f>+AV69*D69</f>
        <v>0</v>
      </c>
      <c r="BB69" s="61">
        <f>+AW69*D69</f>
        <v>0</v>
      </c>
      <c r="BC69" s="61">
        <f>+BB69+BB69</f>
        <v>0</v>
      </c>
      <c r="BD69" s="61"/>
      <c r="BE69" s="61"/>
      <c r="BF69" s="61"/>
      <c r="BG69" s="61"/>
      <c r="BH69" s="61"/>
      <c r="BI69" s="61"/>
      <c r="BJ69" s="61"/>
      <c r="BK69" s="61"/>
      <c r="BL69" s="61"/>
    </row>
    <row r="70" spans="2:64" hidden="1" x14ac:dyDescent="0.2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4"/>
      <c r="AO70" s="165"/>
      <c r="AP70" s="166"/>
      <c r="AQ70" s="166"/>
      <c r="AR70" s="166"/>
      <c r="AS70" s="166"/>
      <c r="AT70" s="167"/>
      <c r="AU70" s="107"/>
      <c r="AV70" s="107"/>
      <c r="AW70" s="96"/>
      <c r="AX70" s="35"/>
      <c r="AY70" s="35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</row>
    <row r="71" spans="2:64" hidden="1" x14ac:dyDescent="0.2">
      <c r="B71" s="114">
        <v>24</v>
      </c>
      <c r="C71" s="61">
        <v>33</v>
      </c>
      <c r="D71" s="37"/>
      <c r="E71" s="61"/>
      <c r="F71" s="61"/>
      <c r="G71" s="35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>
        <v>1</v>
      </c>
      <c r="AL71" s="61"/>
      <c r="AM71" s="38">
        <f>(E71*E$4+F71*F$4+G71*G$4+H71*$H$4+I71*I$4+J71*J$4+K71*K$4+L71*L$4+O71*O$4+Q71*Q$4+M71*$M$4+N71*$N$4+R71*$R$4+S71*$S$4+T71*$T$4+U71*$U$4+P71*$P$4+AF71*AF14+AK71*AK4)/1000</f>
        <v>0</v>
      </c>
      <c r="AN71" s="37">
        <f>AM71*D71</f>
        <v>0</v>
      </c>
      <c r="AO71" s="61">
        <v>4</v>
      </c>
      <c r="AP71" s="61">
        <v>4</v>
      </c>
      <c r="AQ71" s="61"/>
      <c r="AR71" s="61">
        <v>1</v>
      </c>
      <c r="AS71" s="36">
        <f>AN71*VLOOKUP(AO71&amp;"-"&amp;AR71&amp;"F",tabla,2,FALSE)</f>
        <v>0</v>
      </c>
      <c r="AT71" s="115">
        <f>AS71+AT53</f>
        <v>0.70596398881999989</v>
      </c>
      <c r="AU71" s="111">
        <v>1</v>
      </c>
      <c r="AV71" s="35">
        <v>1</v>
      </c>
      <c r="AW71" s="35"/>
      <c r="AX71" s="61"/>
      <c r="AY71" s="61"/>
      <c r="AZ71" s="61">
        <f>+AU71*D71</f>
        <v>0</v>
      </c>
      <c r="BA71" s="61">
        <f>+AV71*D71</f>
        <v>0</v>
      </c>
      <c r="BB71" s="61">
        <f>+AW71*D71</f>
        <v>0</v>
      </c>
      <c r="BC71" s="61">
        <f>+BB71+BB71</f>
        <v>0</v>
      </c>
      <c r="BD71" s="61"/>
      <c r="BE71" s="61"/>
      <c r="BF71" s="61"/>
      <c r="BG71" s="61"/>
      <c r="BH71" s="61"/>
      <c r="BI71" s="61"/>
      <c r="BJ71" s="61"/>
      <c r="BK71" s="61"/>
      <c r="BL71" s="61"/>
    </row>
    <row r="72" spans="2:64" hidden="1" x14ac:dyDescent="0.2"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4"/>
      <c r="AO72" s="165"/>
      <c r="AP72" s="166"/>
      <c r="AQ72" s="166"/>
      <c r="AR72" s="166"/>
      <c r="AS72" s="166"/>
      <c r="AT72" s="167"/>
      <c r="AU72" s="107"/>
      <c r="AV72" s="107"/>
      <c r="AW72" s="96"/>
      <c r="AX72" s="35"/>
      <c r="AY72" s="35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</row>
    <row r="73" spans="2:64" hidden="1" x14ac:dyDescent="0.2">
      <c r="B73" s="114">
        <v>33</v>
      </c>
      <c r="C73" s="61">
        <v>34</v>
      </c>
      <c r="D73" s="37"/>
      <c r="E73" s="61"/>
      <c r="F73" s="61"/>
      <c r="G73" s="35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>
        <v>1</v>
      </c>
      <c r="AM73" s="38">
        <f>(E73*E$4+F73*F$4+G73*G$4+H73*$H$4+I73*I$4+J73*J$4+K73*K$4+L73*L$4+O73*O$4+Q73*Q$4+M73*$M$4+N73*$N$4+R73*$R$4+S73*$S$4+T73*$T$4+U73*$U$4+P73*$P$4+AF73*AF16+AL73*AL4)/1000</f>
        <v>0</v>
      </c>
      <c r="AN73" s="37">
        <f>AM73*D73</f>
        <v>0</v>
      </c>
      <c r="AO73" s="61">
        <v>4</v>
      </c>
      <c r="AP73" s="61">
        <v>4</v>
      </c>
      <c r="AQ73" s="61"/>
      <c r="AR73" s="61">
        <v>3</v>
      </c>
      <c r="AS73" s="36">
        <f>AN73*VLOOKUP(AO73&amp;"-"&amp;AR73&amp;"F",tabla,2,FALSE)</f>
        <v>0</v>
      </c>
      <c r="AT73" s="115">
        <f>AS73+AT71</f>
        <v>0.70596398881999989</v>
      </c>
      <c r="AU73" s="111">
        <v>1</v>
      </c>
      <c r="AV73" s="35">
        <v>1</v>
      </c>
      <c r="AW73" s="35"/>
      <c r="AX73" s="61"/>
      <c r="AY73" s="61"/>
      <c r="AZ73" s="61">
        <f>+AU73*D73</f>
        <v>0</v>
      </c>
      <c r="BA73" s="61">
        <f>+AV73*D73</f>
        <v>0</v>
      </c>
      <c r="BB73" s="61">
        <f>+AW73*D73</f>
        <v>0</v>
      </c>
      <c r="BC73" s="61">
        <f>+BB73+BB73</f>
        <v>0</v>
      </c>
      <c r="BD73" s="61"/>
      <c r="BE73" s="61"/>
      <c r="BF73" s="61"/>
      <c r="BG73" s="61"/>
      <c r="BH73" s="61"/>
      <c r="BI73" s="61"/>
      <c r="BJ73" s="61"/>
      <c r="BK73" s="61"/>
      <c r="BL73" s="61"/>
    </row>
    <row r="74" spans="2:64" ht="12" thickBot="1" x14ac:dyDescent="0.25">
      <c r="B74" s="168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70"/>
      <c r="AO74" s="171"/>
      <c r="AP74" s="172"/>
      <c r="AQ74" s="172"/>
      <c r="AR74" s="172"/>
      <c r="AS74" s="172"/>
      <c r="AT74" s="173"/>
      <c r="AU74" s="107"/>
      <c r="AV74" s="107"/>
      <c r="AW74" s="96"/>
      <c r="AX74" s="35"/>
      <c r="AY74" s="35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</row>
    <row r="75" spans="2:64" x14ac:dyDescent="0.2">
      <c r="BB75" s="97" t="s">
        <v>75</v>
      </c>
      <c r="BC75" s="98">
        <f t="shared" ref="BC75:BL75" si="1">SUM(BC7:BC17)</f>
        <v>0</v>
      </c>
      <c r="BD75" s="98">
        <f t="shared" si="1"/>
        <v>0</v>
      </c>
      <c r="BE75" s="98">
        <f t="shared" si="1"/>
        <v>0</v>
      </c>
      <c r="BF75" s="98">
        <f t="shared" si="1"/>
        <v>0</v>
      </c>
      <c r="BG75" s="98">
        <f t="shared" si="1"/>
        <v>0</v>
      </c>
      <c r="BH75" s="98">
        <f t="shared" si="1"/>
        <v>0</v>
      </c>
      <c r="BI75" s="98">
        <f t="shared" si="1"/>
        <v>0</v>
      </c>
      <c r="BJ75" s="98">
        <f t="shared" si="1"/>
        <v>0</v>
      </c>
      <c r="BK75" s="98">
        <f t="shared" si="1"/>
        <v>0</v>
      </c>
      <c r="BL75" s="98">
        <f t="shared" si="1"/>
        <v>0</v>
      </c>
    </row>
    <row r="76" spans="2:64" x14ac:dyDescent="0.2">
      <c r="BB76" s="97" t="s">
        <v>83</v>
      </c>
      <c r="BC76" s="98">
        <f>+BC75*1.1</f>
        <v>0</v>
      </c>
      <c r="BD76" s="98">
        <f t="shared" ref="BD76:BL76" si="2">+BD75*1.1</f>
        <v>0</v>
      </c>
      <c r="BE76" s="98">
        <f t="shared" si="2"/>
        <v>0</v>
      </c>
      <c r="BF76" s="98">
        <f t="shared" si="2"/>
        <v>0</v>
      </c>
      <c r="BG76" s="98">
        <f t="shared" si="2"/>
        <v>0</v>
      </c>
      <c r="BH76" s="98">
        <f t="shared" si="2"/>
        <v>0</v>
      </c>
      <c r="BI76" s="98">
        <f t="shared" si="2"/>
        <v>0</v>
      </c>
      <c r="BJ76" s="98">
        <f t="shared" si="2"/>
        <v>0</v>
      </c>
      <c r="BK76" s="98">
        <f t="shared" si="2"/>
        <v>0</v>
      </c>
      <c r="BL76" s="98">
        <f t="shared" si="2"/>
        <v>0</v>
      </c>
    </row>
  </sheetData>
  <mergeCells count="86">
    <mergeCell ref="AU60:AW60"/>
    <mergeCell ref="B62:AN62"/>
    <mergeCell ref="AO62:AT62"/>
    <mergeCell ref="B54:AN54"/>
    <mergeCell ref="AO54:AT54"/>
    <mergeCell ref="B56:AN56"/>
    <mergeCell ref="AO56:AT56"/>
    <mergeCell ref="B60:AN60"/>
    <mergeCell ref="AO60:AT60"/>
    <mergeCell ref="AU48:AW48"/>
    <mergeCell ref="B50:AN50"/>
    <mergeCell ref="AO50:AT50"/>
    <mergeCell ref="B52:AN52"/>
    <mergeCell ref="AO52:AT52"/>
    <mergeCell ref="AU52:AW52"/>
    <mergeCell ref="B44:AN44"/>
    <mergeCell ref="AO44:AT44"/>
    <mergeCell ref="B46:AN46"/>
    <mergeCell ref="AO46:AT46"/>
    <mergeCell ref="B48:AN48"/>
    <mergeCell ref="AO48:AT48"/>
    <mergeCell ref="AU38:AW38"/>
    <mergeCell ref="B40:AN40"/>
    <mergeCell ref="AO40:AT40"/>
    <mergeCell ref="B42:AN42"/>
    <mergeCell ref="AO42:AT42"/>
    <mergeCell ref="AU42:AW42"/>
    <mergeCell ref="B34:AN34"/>
    <mergeCell ref="AO34:AT34"/>
    <mergeCell ref="B36:AN36"/>
    <mergeCell ref="AO36:AT36"/>
    <mergeCell ref="B38:AN38"/>
    <mergeCell ref="AO38:AT38"/>
    <mergeCell ref="AU26:AW26"/>
    <mergeCell ref="B28:AN28"/>
    <mergeCell ref="AO28:AT28"/>
    <mergeCell ref="B30:AN30"/>
    <mergeCell ref="B32:AN32"/>
    <mergeCell ref="AO32:AT32"/>
    <mergeCell ref="AU32:AW32"/>
    <mergeCell ref="B22:AN22"/>
    <mergeCell ref="AO22:AT22"/>
    <mergeCell ref="B24:AN24"/>
    <mergeCell ref="AO24:AT24"/>
    <mergeCell ref="B26:AN26"/>
    <mergeCell ref="AO26:AT26"/>
    <mergeCell ref="AU14:AW14"/>
    <mergeCell ref="AO14:AT14"/>
    <mergeCell ref="B14:AN14"/>
    <mergeCell ref="B18:AN18"/>
    <mergeCell ref="B20:AN20"/>
    <mergeCell ref="AO20:AT20"/>
    <mergeCell ref="AU20:AW20"/>
    <mergeCell ref="AO16:AT16"/>
    <mergeCell ref="B16:AN16"/>
    <mergeCell ref="B12:AN12"/>
    <mergeCell ref="AO12:AT12"/>
    <mergeCell ref="B5:AT5"/>
    <mergeCell ref="B6:AN6"/>
    <mergeCell ref="B8:AN8"/>
    <mergeCell ref="AO8:AT8"/>
    <mergeCell ref="AO10:AT10"/>
    <mergeCell ref="B10:AN10"/>
    <mergeCell ref="AU8:AW8"/>
    <mergeCell ref="AU2:BL2"/>
    <mergeCell ref="AZ3:BB3"/>
    <mergeCell ref="AU3:AW3"/>
    <mergeCell ref="B2:AT2"/>
    <mergeCell ref="AX3:AX4"/>
    <mergeCell ref="AY3:AY4"/>
    <mergeCell ref="B3:B4"/>
    <mergeCell ref="C3:C4"/>
    <mergeCell ref="AR3:AR4"/>
    <mergeCell ref="AS3:AT3"/>
    <mergeCell ref="B70:AN70"/>
    <mergeCell ref="AO70:AT70"/>
    <mergeCell ref="B72:AN72"/>
    <mergeCell ref="AO72:AT72"/>
    <mergeCell ref="B74:AN74"/>
    <mergeCell ref="AO74:AT74"/>
    <mergeCell ref="B64:AN64"/>
    <mergeCell ref="AO64:AT64"/>
    <mergeCell ref="B66:AN66"/>
    <mergeCell ref="AO66:AT66"/>
    <mergeCell ref="B68:AN68"/>
    <mergeCell ref="AO68:AT68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L7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S85" sqref="S85"/>
    </sheetView>
  </sheetViews>
  <sheetFormatPr baseColWidth="10" defaultRowHeight="11.25" x14ac:dyDescent="0.2"/>
  <cols>
    <col min="1" max="1" width="11.42578125" style="94"/>
    <col min="2" max="2" width="2.85546875" style="94" bestFit="1" customWidth="1"/>
    <col min="3" max="3" width="7.28515625" style="94" customWidth="1"/>
    <col min="4" max="19" width="8.42578125" style="94" customWidth="1"/>
    <col min="20" max="38" width="8.42578125" style="94" hidden="1" customWidth="1"/>
    <col min="39" max="39" width="6.5703125" style="94" bestFit="1" customWidth="1"/>
    <col min="40" max="40" width="9" style="94" bestFit="1" customWidth="1"/>
    <col min="41" max="43" width="8" style="94" customWidth="1"/>
    <col min="44" max="44" width="5.85546875" style="94" bestFit="1" customWidth="1"/>
    <col min="45" max="45" width="8.28515625" style="94" bestFit="1" customWidth="1"/>
    <col min="46" max="46" width="9.7109375" style="94" bestFit="1" customWidth="1"/>
    <col min="47" max="49" width="8.140625" style="94" customWidth="1"/>
    <col min="50" max="50" width="9.5703125" style="94" customWidth="1"/>
    <col min="51" max="54" width="8.140625" style="94" customWidth="1"/>
    <col min="55" max="56" width="6.42578125" style="94" bestFit="1" customWidth="1"/>
    <col min="57" max="60" width="5.5703125" style="94" bestFit="1" customWidth="1"/>
    <col min="61" max="62" width="6.85546875" style="94" bestFit="1" customWidth="1"/>
    <col min="63" max="64" width="7.140625" style="94" bestFit="1" customWidth="1"/>
    <col min="65" max="16384" width="11.42578125" style="94"/>
  </cols>
  <sheetData>
    <row r="1" spans="2:64" ht="12" thickBot="1" x14ac:dyDescent="0.25"/>
    <row r="2" spans="2:64" x14ac:dyDescent="0.2">
      <c r="B2" s="177" t="s">
        <v>82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9"/>
      <c r="AU2" s="175" t="s">
        <v>57</v>
      </c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</row>
    <row r="3" spans="2:64" s="95" customFormat="1" ht="22.5" x14ac:dyDescent="0.2">
      <c r="B3" s="180" t="s">
        <v>1</v>
      </c>
      <c r="C3" s="181" t="s">
        <v>2</v>
      </c>
      <c r="D3" s="108" t="s">
        <v>98</v>
      </c>
      <c r="E3" s="42" t="s">
        <v>25</v>
      </c>
      <c r="F3" s="42" t="s">
        <v>25</v>
      </c>
      <c r="G3" s="42" t="s">
        <v>25</v>
      </c>
      <c r="H3" s="42" t="s">
        <v>25</v>
      </c>
      <c r="I3" s="42" t="s">
        <v>25</v>
      </c>
      <c r="J3" s="42" t="s">
        <v>25</v>
      </c>
      <c r="K3" s="42" t="s">
        <v>25</v>
      </c>
      <c r="L3" s="42" t="s">
        <v>25</v>
      </c>
      <c r="M3" s="42" t="s">
        <v>25</v>
      </c>
      <c r="N3" s="42" t="s">
        <v>25</v>
      </c>
      <c r="O3" s="42" t="s">
        <v>25</v>
      </c>
      <c r="P3" s="42" t="s">
        <v>25</v>
      </c>
      <c r="Q3" s="42" t="s">
        <v>25</v>
      </c>
      <c r="R3" s="42" t="s">
        <v>25</v>
      </c>
      <c r="S3" s="42" t="s">
        <v>25</v>
      </c>
      <c r="T3" s="42" t="s">
        <v>25</v>
      </c>
      <c r="U3" s="42" t="s">
        <v>25</v>
      </c>
      <c r="V3" s="42" t="s">
        <v>25</v>
      </c>
      <c r="W3" s="42" t="s">
        <v>25</v>
      </c>
      <c r="X3" s="42" t="s">
        <v>25</v>
      </c>
      <c r="Y3" s="42" t="s">
        <v>25</v>
      </c>
      <c r="Z3" s="42" t="s">
        <v>25</v>
      </c>
      <c r="AA3" s="42" t="s">
        <v>25</v>
      </c>
      <c r="AB3" s="42" t="s">
        <v>25</v>
      </c>
      <c r="AC3" s="42" t="s">
        <v>25</v>
      </c>
      <c r="AD3" s="42" t="s">
        <v>25</v>
      </c>
      <c r="AE3" s="42" t="s">
        <v>25</v>
      </c>
      <c r="AF3" s="42" t="s">
        <v>25</v>
      </c>
      <c r="AG3" s="42" t="s">
        <v>25</v>
      </c>
      <c r="AH3" s="42" t="s">
        <v>25</v>
      </c>
      <c r="AI3" s="42" t="s">
        <v>25</v>
      </c>
      <c r="AJ3" s="42" t="s">
        <v>25</v>
      </c>
      <c r="AK3" s="42" t="s">
        <v>25</v>
      </c>
      <c r="AL3" s="42" t="s">
        <v>25</v>
      </c>
      <c r="AM3" s="108" t="s">
        <v>25</v>
      </c>
      <c r="AN3" s="108" t="s">
        <v>26</v>
      </c>
      <c r="AO3" s="108" t="s">
        <v>77</v>
      </c>
      <c r="AP3" s="108" t="s">
        <v>78</v>
      </c>
      <c r="AQ3" s="108" t="s">
        <v>79</v>
      </c>
      <c r="AR3" s="181" t="s">
        <v>27</v>
      </c>
      <c r="AS3" s="176" t="s">
        <v>126</v>
      </c>
      <c r="AT3" s="182"/>
      <c r="AU3" s="175" t="s">
        <v>58</v>
      </c>
      <c r="AV3" s="176"/>
      <c r="AW3" s="176"/>
      <c r="AX3" s="176" t="s">
        <v>84</v>
      </c>
      <c r="AY3" s="176" t="s">
        <v>49</v>
      </c>
      <c r="AZ3" s="176" t="s">
        <v>59</v>
      </c>
      <c r="BA3" s="176"/>
      <c r="BB3" s="176"/>
      <c r="BC3" s="108" t="s">
        <v>60</v>
      </c>
      <c r="BD3" s="108" t="s">
        <v>61</v>
      </c>
      <c r="BE3" s="108" t="s">
        <v>62</v>
      </c>
      <c r="BF3" s="108" t="s">
        <v>63</v>
      </c>
      <c r="BG3" s="108" t="s">
        <v>64</v>
      </c>
      <c r="BH3" s="108" t="s">
        <v>65</v>
      </c>
      <c r="BI3" s="108" t="s">
        <v>66</v>
      </c>
      <c r="BJ3" s="108" t="s">
        <v>67</v>
      </c>
      <c r="BK3" s="108" t="s">
        <v>68</v>
      </c>
      <c r="BL3" s="108" t="s">
        <v>69</v>
      </c>
    </row>
    <row r="4" spans="2:64" x14ac:dyDescent="0.2">
      <c r="B4" s="180"/>
      <c r="C4" s="181"/>
      <c r="D4" s="109" t="s">
        <v>125</v>
      </c>
      <c r="E4" s="42">
        <v>2502</v>
      </c>
      <c r="F4" s="42">
        <f>E4-198</f>
        <v>2304</v>
      </c>
      <c r="G4" s="42">
        <f>F4-198</f>
        <v>2106</v>
      </c>
      <c r="H4" s="42">
        <f>G4-198</f>
        <v>1908</v>
      </c>
      <c r="I4" s="42">
        <f>H4-159</f>
        <v>1749</v>
      </c>
      <c r="J4" s="42">
        <f>I4-159</f>
        <v>1590</v>
      </c>
      <c r="K4" s="42">
        <f>J4-159</f>
        <v>1431</v>
      </c>
      <c r="L4" s="42">
        <f>K4-159</f>
        <v>1272</v>
      </c>
      <c r="M4" s="42">
        <f>L4-159</f>
        <v>1113</v>
      </c>
      <c r="N4" s="42">
        <f t="shared" ref="N4:S4" si="0">M4-159</f>
        <v>954</v>
      </c>
      <c r="O4" s="42">
        <f t="shared" si="0"/>
        <v>795</v>
      </c>
      <c r="P4" s="42">
        <f t="shared" si="0"/>
        <v>636</v>
      </c>
      <c r="Q4" s="42">
        <f t="shared" si="0"/>
        <v>477</v>
      </c>
      <c r="R4" s="42">
        <f t="shared" si="0"/>
        <v>318</v>
      </c>
      <c r="S4" s="42">
        <f t="shared" si="0"/>
        <v>159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109" t="s">
        <v>3</v>
      </c>
      <c r="AN4" s="109" t="s">
        <v>4</v>
      </c>
      <c r="AO4" s="109" t="s">
        <v>23</v>
      </c>
      <c r="AP4" s="109" t="s">
        <v>23</v>
      </c>
      <c r="AQ4" s="109" t="s">
        <v>23</v>
      </c>
      <c r="AR4" s="181"/>
      <c r="AS4" s="109" t="s">
        <v>5</v>
      </c>
      <c r="AT4" s="112" t="s">
        <v>6</v>
      </c>
      <c r="AU4" s="110" t="s">
        <v>27</v>
      </c>
      <c r="AV4" s="109" t="s">
        <v>70</v>
      </c>
      <c r="AW4" s="109" t="s">
        <v>71</v>
      </c>
      <c r="AX4" s="176"/>
      <c r="AY4" s="176"/>
      <c r="AZ4" s="109" t="s">
        <v>27</v>
      </c>
      <c r="BA4" s="109" t="s">
        <v>70</v>
      </c>
      <c r="BB4" s="109" t="s">
        <v>71</v>
      </c>
      <c r="BC4" s="109" t="s">
        <v>72</v>
      </c>
      <c r="BD4" s="109" t="s">
        <v>72</v>
      </c>
      <c r="BE4" s="109" t="s">
        <v>72</v>
      </c>
      <c r="BF4" s="109" t="s">
        <v>72</v>
      </c>
      <c r="BG4" s="109" t="s">
        <v>72</v>
      </c>
      <c r="BH4" s="109" t="s">
        <v>72</v>
      </c>
      <c r="BI4" s="109" t="s">
        <v>72</v>
      </c>
      <c r="BJ4" s="109" t="s">
        <v>72</v>
      </c>
      <c r="BK4" s="109" t="s">
        <v>72</v>
      </c>
      <c r="BL4" s="109" t="s">
        <v>72</v>
      </c>
    </row>
    <row r="5" spans="2:64" ht="12.75" x14ac:dyDescent="0.2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5"/>
      <c r="AU5" s="111"/>
      <c r="AV5" s="35"/>
      <c r="AW5" s="35"/>
      <c r="AX5" s="35"/>
      <c r="AY5" s="35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2:64" x14ac:dyDescent="0.2">
      <c r="B6" s="186" t="s">
        <v>130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07"/>
      <c r="AP6" s="107"/>
      <c r="AQ6" s="107"/>
      <c r="AR6" s="107"/>
      <c r="AS6" s="107"/>
      <c r="AT6" s="113"/>
      <c r="AU6" s="107"/>
      <c r="AV6" s="107"/>
      <c r="AW6" s="96"/>
      <c r="AX6" s="35"/>
      <c r="AY6" s="35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</row>
    <row r="7" spans="2:64" x14ac:dyDescent="0.2">
      <c r="B7" s="114">
        <v>0</v>
      </c>
      <c r="C7" s="61">
        <v>1</v>
      </c>
      <c r="D7" s="37">
        <v>10</v>
      </c>
      <c r="E7" s="61">
        <v>1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38">
        <f>(E7*E$4+F7*F$4+G7*G$4+H7*$H$4+I7*I$4+J7*J$4+K7*K$4+L7*L$4+O7*O$4+Q7*Q$4+M7*$M$4+N7*$N$4+R7*$R$4+S7*$S$4+T7*$T$4+U7*$U$4+P7*$P$4)/1000</f>
        <v>2.5019999999999998</v>
      </c>
      <c r="AN7" s="37">
        <f>AM7*D7</f>
        <v>25.019999999999996</v>
      </c>
      <c r="AO7" s="61">
        <v>4</v>
      </c>
      <c r="AP7" s="61">
        <v>4</v>
      </c>
      <c r="AQ7" s="61"/>
      <c r="AR7" s="61">
        <v>3</v>
      </c>
      <c r="AS7" s="36">
        <f>AN7*VLOOKUP(AO7&amp;"-"&amp;AR7&amp;"F",tabla,2,FALSE)</f>
        <v>8.237634839999998E-2</v>
      </c>
      <c r="AT7" s="115">
        <f>AS7</f>
        <v>8.237634839999998E-2</v>
      </c>
      <c r="AU7" s="111">
        <v>1</v>
      </c>
      <c r="AV7" s="35">
        <v>1</v>
      </c>
      <c r="AW7" s="35"/>
      <c r="AX7" s="61"/>
      <c r="AY7" s="61"/>
      <c r="AZ7" s="61">
        <f>+AU7*D7</f>
        <v>10</v>
      </c>
      <c r="BA7" s="61">
        <f>+AV7*D7</f>
        <v>10</v>
      </c>
      <c r="BB7" s="61">
        <f>+AW7*D7</f>
        <v>0</v>
      </c>
      <c r="BC7" s="61">
        <f>+BB7+BB7</f>
        <v>0</v>
      </c>
      <c r="BD7" s="61"/>
      <c r="BE7" s="61"/>
      <c r="BF7" s="61"/>
      <c r="BG7" s="61"/>
      <c r="BH7" s="61"/>
      <c r="BI7" s="61"/>
      <c r="BJ7" s="61"/>
      <c r="BK7" s="61"/>
      <c r="BL7" s="61"/>
    </row>
    <row r="8" spans="2:64" x14ac:dyDescent="0.2"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5"/>
      <c r="AP8" s="166"/>
      <c r="AQ8" s="166"/>
      <c r="AR8" s="166"/>
      <c r="AS8" s="166"/>
      <c r="AT8" s="167"/>
      <c r="AU8" s="174"/>
      <c r="AV8" s="174"/>
      <c r="AW8" s="174"/>
      <c r="AX8" s="35"/>
      <c r="AY8" s="35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</row>
    <row r="9" spans="2:64" x14ac:dyDescent="0.2">
      <c r="B9" s="114">
        <v>1</v>
      </c>
      <c r="C9" s="61">
        <f>C7+1</f>
        <v>2</v>
      </c>
      <c r="D9" s="37">
        <v>45</v>
      </c>
      <c r="E9" s="61"/>
      <c r="F9" s="61">
        <v>1</v>
      </c>
      <c r="G9" s="35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38">
        <f>(E9*E$4+F9*F$4+G9*G$4+H9*$H$4+I9*I$4+J9*J$4+K9*K$4+L9*L$4+O9*O$4+Q9*Q$4+M9*$M$4+N9*$N$4+R9*$R$4+S9*$S$4+T9*$T$4+U9*$U$4+P9*$P$4)/1000</f>
        <v>2.3039999999999998</v>
      </c>
      <c r="AN9" s="37">
        <f>AM9*D9</f>
        <v>103.67999999999999</v>
      </c>
      <c r="AO9" s="61">
        <v>4</v>
      </c>
      <c r="AP9" s="61">
        <v>4</v>
      </c>
      <c r="AQ9" s="61"/>
      <c r="AR9" s="61">
        <v>3</v>
      </c>
      <c r="AS9" s="36">
        <f>AN9*VLOOKUP(AO9&amp;"-"&amp;AR9&amp;"F",tabla,2,FALSE)</f>
        <v>0.34135810559999996</v>
      </c>
      <c r="AT9" s="115">
        <f>AS9+AT7</f>
        <v>0.42373445399999993</v>
      </c>
      <c r="AU9" s="111">
        <v>1</v>
      </c>
      <c r="AV9" s="35">
        <v>1</v>
      </c>
      <c r="AW9" s="35"/>
      <c r="AX9" s="61"/>
      <c r="AY9" s="61"/>
      <c r="AZ9" s="61">
        <f>+AU9*D9</f>
        <v>45</v>
      </c>
      <c r="BA9" s="61">
        <f>+AV9*D9</f>
        <v>45</v>
      </c>
      <c r="BB9" s="61">
        <f>+AW9*D9</f>
        <v>0</v>
      </c>
      <c r="BC9" s="61">
        <f>+BB9+BB9</f>
        <v>0</v>
      </c>
      <c r="BD9" s="61"/>
      <c r="BE9" s="61"/>
      <c r="BF9" s="61"/>
      <c r="BG9" s="61"/>
      <c r="BH9" s="61"/>
      <c r="BI9" s="61"/>
      <c r="BJ9" s="61"/>
      <c r="BK9" s="61"/>
      <c r="BL9" s="61"/>
    </row>
    <row r="10" spans="2:64" x14ac:dyDescent="0.2">
      <c r="B10" s="16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5"/>
      <c r="AP10" s="166"/>
      <c r="AQ10" s="166"/>
      <c r="AR10" s="166"/>
      <c r="AS10" s="166"/>
      <c r="AT10" s="167"/>
      <c r="AU10" s="107"/>
      <c r="AV10" s="107"/>
      <c r="AW10" s="96"/>
      <c r="AX10" s="35"/>
      <c r="AY10" s="35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2:64" x14ac:dyDescent="0.2">
      <c r="B11" s="114">
        <v>2</v>
      </c>
      <c r="C11" s="61">
        <f>C9+1</f>
        <v>3</v>
      </c>
      <c r="D11" s="37">
        <v>40</v>
      </c>
      <c r="E11" s="61"/>
      <c r="F11" s="61"/>
      <c r="G11" s="61">
        <v>1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38">
        <f>(E11*E$4+F11*F$4+G11*G$4+H11*$H$4+I11*I$4+J11*J$4+K11*K$4+L11*L$4+O11*O$4+Q11*Q$4+M11*$M$4+N11*$N$4+R11*$R$4+S11*$S$4+T11*$T$4+U11*$U$4+P11*$P$4)/1000</f>
        <v>2.1059999999999999</v>
      </c>
      <c r="AN11" s="37">
        <f>AM11*D11</f>
        <v>84.24</v>
      </c>
      <c r="AO11" s="61">
        <v>4</v>
      </c>
      <c r="AP11" s="61">
        <v>4</v>
      </c>
      <c r="AQ11" s="61"/>
      <c r="AR11" s="61">
        <v>3</v>
      </c>
      <c r="AS11" s="36">
        <f>AN11*VLOOKUP(AO11&amp;"-"&amp;AR11&amp;"F",tabla,2,FALSE)</f>
        <v>0.27735346079999995</v>
      </c>
      <c r="AT11" s="115">
        <f>AS11+AT9</f>
        <v>0.70108791479999988</v>
      </c>
      <c r="AU11" s="111">
        <v>1</v>
      </c>
      <c r="AV11" s="35">
        <v>1</v>
      </c>
      <c r="AW11" s="35"/>
      <c r="AX11" s="35"/>
      <c r="AY11" s="35"/>
      <c r="AZ11" s="61">
        <f>+AU11*D11</f>
        <v>40</v>
      </c>
      <c r="BA11" s="61">
        <f>+AV11*D11</f>
        <v>40</v>
      </c>
      <c r="BB11" s="61">
        <f>+AW11*D11</f>
        <v>0</v>
      </c>
      <c r="BC11" s="61">
        <f>+BB11+BB11</f>
        <v>0</v>
      </c>
      <c r="BD11" s="61"/>
      <c r="BE11" s="61"/>
      <c r="BF11" s="61"/>
      <c r="BG11" s="61"/>
      <c r="BH11" s="61"/>
      <c r="BI11" s="61"/>
      <c r="BJ11" s="61"/>
      <c r="BK11" s="61"/>
      <c r="BL11" s="61"/>
    </row>
    <row r="12" spans="2:64" x14ac:dyDescent="0.2"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4"/>
      <c r="AO12" s="165"/>
      <c r="AP12" s="166"/>
      <c r="AQ12" s="166"/>
      <c r="AR12" s="166"/>
      <c r="AS12" s="166"/>
      <c r="AT12" s="167"/>
      <c r="AU12" s="107"/>
      <c r="AV12" s="107"/>
      <c r="AW12" s="96"/>
      <c r="AX12" s="35"/>
      <c r="AY12" s="35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</row>
    <row r="13" spans="2:64" x14ac:dyDescent="0.2">
      <c r="B13" s="114">
        <v>3</v>
      </c>
      <c r="C13" s="61">
        <f>C11+1</f>
        <v>4</v>
      </c>
      <c r="D13" s="37">
        <v>40</v>
      </c>
      <c r="E13" s="61"/>
      <c r="F13" s="61"/>
      <c r="G13" s="61"/>
      <c r="H13" s="61">
        <v>1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38">
        <f>(E13*E$4+F13*F$4+G13*G$4+H13*$H$4+I13*I$4+J13*J$4+K13*K$4+L13*L$4+O13*O$4+Q13*Q$4+M13*$M$4+N13*$N$4+R13*$R$4+S13*$S$4+T13*$T$4+U13*$U$4+P13*$P$4)/1000</f>
        <v>1.9079999999999999</v>
      </c>
      <c r="AN13" s="37">
        <f>AM13*D13</f>
        <v>76.319999999999993</v>
      </c>
      <c r="AO13" s="61">
        <v>4</v>
      </c>
      <c r="AP13" s="61">
        <v>4</v>
      </c>
      <c r="AQ13" s="61"/>
      <c r="AR13" s="61">
        <v>3</v>
      </c>
      <c r="AS13" s="36">
        <f>AN13*VLOOKUP(AO13&amp;"-"&amp;AR13&amp;"F",tabla,2,FALSE)</f>
        <v>0.25127749439999997</v>
      </c>
      <c r="AT13" s="115">
        <f>AS13+AT11</f>
        <v>0.95236540919999979</v>
      </c>
      <c r="AU13" s="111">
        <v>1</v>
      </c>
      <c r="AV13" s="35">
        <v>1</v>
      </c>
      <c r="AW13" s="35"/>
      <c r="AX13" s="35"/>
      <c r="AY13" s="35"/>
      <c r="AZ13" s="61">
        <f>+AU13*D13</f>
        <v>40</v>
      </c>
      <c r="BA13" s="61">
        <f>+AV13*D13</f>
        <v>40</v>
      </c>
      <c r="BB13" s="61">
        <f>+AW13*D13</f>
        <v>0</v>
      </c>
      <c r="BC13" s="61">
        <f>+BB13+BB13</f>
        <v>0</v>
      </c>
      <c r="BD13" s="61"/>
      <c r="BE13" s="61"/>
      <c r="BF13" s="61"/>
      <c r="BG13" s="61"/>
      <c r="BH13" s="61"/>
      <c r="BI13" s="61"/>
      <c r="BJ13" s="61"/>
      <c r="BK13" s="61"/>
      <c r="BL13" s="61"/>
    </row>
    <row r="14" spans="2:64" x14ac:dyDescent="0.2">
      <c r="B14" s="162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4"/>
      <c r="AO14" s="165"/>
      <c r="AP14" s="166"/>
      <c r="AQ14" s="166"/>
      <c r="AR14" s="166"/>
      <c r="AS14" s="166"/>
      <c r="AT14" s="167"/>
      <c r="AU14" s="166"/>
      <c r="AV14" s="166"/>
      <c r="AW14" s="188"/>
      <c r="AX14" s="35"/>
      <c r="AY14" s="35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</row>
    <row r="15" spans="2:64" x14ac:dyDescent="0.2">
      <c r="B15" s="114">
        <v>4</v>
      </c>
      <c r="C15" s="61">
        <f>C13+1</f>
        <v>5</v>
      </c>
      <c r="D15" s="37">
        <v>40</v>
      </c>
      <c r="E15" s="61"/>
      <c r="F15" s="61"/>
      <c r="G15" s="61"/>
      <c r="H15" s="61"/>
      <c r="I15" s="61">
        <v>1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38">
        <f>(E15*E$4+F15*F$4+G15*G$4+H15*$H$4+I15*I$4+J15*J$4+K15*K$4+L15*L$4+O15*O$4+Q15*Q$4+M15*$M$4+N15*$N$4+R15*$R$4+S15*$S$4+T15*$T$4+U15*$U$4+P15*$P$4)/1000</f>
        <v>1.7490000000000001</v>
      </c>
      <c r="AN15" s="37">
        <f>AM15*D15</f>
        <v>69.960000000000008</v>
      </c>
      <c r="AO15" s="61">
        <v>4</v>
      </c>
      <c r="AP15" s="61">
        <v>4</v>
      </c>
      <c r="AQ15" s="61"/>
      <c r="AR15" s="61">
        <v>3</v>
      </c>
      <c r="AS15" s="36">
        <f>AN15*VLOOKUP(AO15&amp;"-"&amp;AR15&amp;"F",tabla,2,FALSE)</f>
        <v>0.23033770320000002</v>
      </c>
      <c r="AT15" s="115">
        <f>AS15+AT13</f>
        <v>1.1827031123999998</v>
      </c>
      <c r="AU15" s="111">
        <v>1</v>
      </c>
      <c r="AV15" s="35">
        <v>1</v>
      </c>
      <c r="AW15" s="35"/>
      <c r="AX15" s="35"/>
      <c r="AY15" s="35"/>
      <c r="AZ15" s="61">
        <f>+AU15*D15</f>
        <v>40</v>
      </c>
      <c r="BA15" s="61">
        <f>+AV15*D15</f>
        <v>40</v>
      </c>
      <c r="BB15" s="61">
        <f>+AW15*D15</f>
        <v>0</v>
      </c>
      <c r="BC15" s="61">
        <f>+BB15+BB15</f>
        <v>0</v>
      </c>
      <c r="BD15" s="61"/>
      <c r="BE15" s="61"/>
      <c r="BF15" s="61"/>
      <c r="BG15" s="61"/>
      <c r="BH15" s="61"/>
      <c r="BI15" s="61"/>
      <c r="BJ15" s="61"/>
      <c r="BK15" s="61"/>
      <c r="BL15" s="61"/>
    </row>
    <row r="16" spans="2:64" x14ac:dyDescent="0.2"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4"/>
      <c r="AO16" s="165"/>
      <c r="AP16" s="166"/>
      <c r="AQ16" s="166"/>
      <c r="AR16" s="166"/>
      <c r="AS16" s="166"/>
      <c r="AT16" s="167"/>
      <c r="AU16" s="107"/>
      <c r="AV16" s="107"/>
      <c r="AW16" s="96"/>
      <c r="AX16" s="35"/>
      <c r="AY16" s="35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</row>
    <row r="17" spans="2:64" x14ac:dyDescent="0.2">
      <c r="B17" s="114">
        <v>5</v>
      </c>
      <c r="C17" s="61">
        <f>C15+1</f>
        <v>6</v>
      </c>
      <c r="D17" s="37">
        <v>40</v>
      </c>
      <c r="E17" s="61"/>
      <c r="F17" s="61"/>
      <c r="G17" s="61"/>
      <c r="H17" s="61"/>
      <c r="I17" s="61"/>
      <c r="J17" s="61">
        <v>1</v>
      </c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38">
        <f>(E17*E$4+F17*F$4+G17*G$4+H17*$H$4+I17*I$4+J17*J$4+K17*K$4+L17*L$4+O17*O$4+Q17*Q$4+M17*$M$4+N17*$N$4+R17*$R$4+S17*$S$4+T17*$T$4+U17*$U$4+P17*$P$4)/1000</f>
        <v>1.59</v>
      </c>
      <c r="AN17" s="37">
        <f>AM17*D17</f>
        <v>63.6</v>
      </c>
      <c r="AO17" s="61">
        <v>4</v>
      </c>
      <c r="AP17" s="61">
        <v>4</v>
      </c>
      <c r="AQ17" s="61"/>
      <c r="AR17" s="61">
        <v>3</v>
      </c>
      <c r="AS17" s="36">
        <f>AN17*VLOOKUP(AO17&amp;"-"&amp;AR17&amp;"F",tabla,2,FALSE)</f>
        <v>0.20939791199999999</v>
      </c>
      <c r="AT17" s="115">
        <f>AS17+AT15</f>
        <v>1.3921010243999998</v>
      </c>
      <c r="AU17" s="111">
        <v>1</v>
      </c>
      <c r="AV17" s="35">
        <v>1</v>
      </c>
      <c r="AW17" s="35"/>
      <c r="AX17" s="35"/>
      <c r="AY17" s="35"/>
      <c r="AZ17" s="61">
        <f>+AU17*D17</f>
        <v>40</v>
      </c>
      <c r="BA17" s="61">
        <f>+AV17*D17</f>
        <v>40</v>
      </c>
      <c r="BB17" s="61">
        <f>+AW17*D17</f>
        <v>0</v>
      </c>
      <c r="BC17" s="61">
        <f>+BB17+BB17</f>
        <v>0</v>
      </c>
      <c r="BD17" s="61"/>
      <c r="BE17" s="61"/>
      <c r="BF17" s="61"/>
      <c r="BG17" s="61"/>
      <c r="BH17" s="61"/>
      <c r="BI17" s="61"/>
      <c r="BJ17" s="61"/>
      <c r="BK17" s="61"/>
      <c r="BL17" s="61"/>
    </row>
    <row r="18" spans="2:64" x14ac:dyDescent="0.2">
      <c r="B18" s="186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07"/>
      <c r="AP18" s="107"/>
      <c r="AQ18" s="107"/>
      <c r="AR18" s="107"/>
      <c r="AS18" s="107"/>
      <c r="AT18" s="113"/>
      <c r="AU18" s="107"/>
      <c r="AV18" s="107"/>
      <c r="AW18" s="96"/>
      <c r="AX18" s="35"/>
      <c r="AY18" s="35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2:64" x14ac:dyDescent="0.2">
      <c r="B19" s="114">
        <v>6</v>
      </c>
      <c r="C19" s="61">
        <v>7</v>
      </c>
      <c r="D19" s="37">
        <v>40</v>
      </c>
      <c r="E19" s="61"/>
      <c r="F19" s="61"/>
      <c r="G19" s="61"/>
      <c r="H19" s="61"/>
      <c r="I19" s="61"/>
      <c r="J19" s="61"/>
      <c r="K19" s="61">
        <v>1</v>
      </c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38">
        <f>(E19*E$4+F19*F$4+G19*G$4+H19*$H$4+I19*I$4+J19*J$4+K19*K$4+L19*L$4+O19*O$4+Q19*Q$4+M19*$M$4+N19*$N$4+R19*$R$4+S19*$S$4+T19*$T$4+U19*$U$4+P19*$P$4)/1000</f>
        <v>1.431</v>
      </c>
      <c r="AN19" s="37">
        <f>AM19*D19</f>
        <v>57.24</v>
      </c>
      <c r="AO19" s="61">
        <v>4</v>
      </c>
      <c r="AP19" s="61">
        <v>4</v>
      </c>
      <c r="AQ19" s="61"/>
      <c r="AR19" s="61">
        <v>3</v>
      </c>
      <c r="AS19" s="36">
        <f>AN19*VLOOKUP(AO19&amp;"-"&amp;AR19&amp;"F",tabla,2,FALSE)</f>
        <v>0.18845812079999999</v>
      </c>
      <c r="AT19" s="115">
        <f>AS19+AT17</f>
        <v>1.5805591451999998</v>
      </c>
      <c r="AU19" s="111">
        <v>1</v>
      </c>
      <c r="AV19" s="35">
        <v>1</v>
      </c>
      <c r="AW19" s="35"/>
      <c r="AX19" s="61"/>
      <c r="AY19" s="61"/>
      <c r="AZ19" s="61">
        <f>+AU19*D19</f>
        <v>40</v>
      </c>
      <c r="BA19" s="61">
        <f>+AV19*D19</f>
        <v>40</v>
      </c>
      <c r="BB19" s="61">
        <f>+AW19*D19</f>
        <v>0</v>
      </c>
      <c r="BC19" s="61">
        <f>+BB19+BB19</f>
        <v>0</v>
      </c>
      <c r="BD19" s="61"/>
      <c r="BE19" s="61"/>
      <c r="BF19" s="61"/>
      <c r="BG19" s="61"/>
      <c r="BH19" s="61"/>
      <c r="BI19" s="61"/>
      <c r="BJ19" s="61"/>
      <c r="BK19" s="61"/>
      <c r="BL19" s="61"/>
    </row>
    <row r="20" spans="2:64" x14ac:dyDescent="0.2"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5"/>
      <c r="AP20" s="166"/>
      <c r="AQ20" s="166"/>
      <c r="AR20" s="166"/>
      <c r="AS20" s="166"/>
      <c r="AT20" s="167"/>
      <c r="AU20" s="174"/>
      <c r="AV20" s="174"/>
      <c r="AW20" s="174"/>
      <c r="AX20" s="35"/>
      <c r="AY20" s="35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</row>
    <row r="21" spans="2:64" x14ac:dyDescent="0.2">
      <c r="B21" s="114">
        <v>7</v>
      </c>
      <c r="C21" s="61">
        <f>C19+1</f>
        <v>8</v>
      </c>
      <c r="D21" s="37">
        <v>40</v>
      </c>
      <c r="E21" s="61"/>
      <c r="F21" s="61"/>
      <c r="G21" s="35"/>
      <c r="H21" s="61"/>
      <c r="I21" s="61"/>
      <c r="J21" s="61"/>
      <c r="K21" s="61"/>
      <c r="L21" s="61">
        <v>1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38">
        <f>(E21*E$4+F21*F$4+G21*G$4+H21*$H$4+I21*I$4+J21*J$4+K21*K$4+L21*L$4+O21*O$4+Q21*Q$4+M21*$M$4+N21*$N$4+R21*$R$4+S21*$S$4+T21*$T$4+U21*$U$4+P21*$P$4)/1000</f>
        <v>1.272</v>
      </c>
      <c r="AN21" s="37">
        <f>AM21*D21</f>
        <v>50.88</v>
      </c>
      <c r="AO21" s="61">
        <v>4</v>
      </c>
      <c r="AP21" s="61">
        <v>4</v>
      </c>
      <c r="AQ21" s="61"/>
      <c r="AR21" s="61">
        <v>3</v>
      </c>
      <c r="AS21" s="36">
        <f>AN21*VLOOKUP(AO21&amp;"-"&amp;AR21&amp;"F",tabla,2,FALSE)</f>
        <v>0.16751832960000002</v>
      </c>
      <c r="AT21" s="115">
        <f>AS21+AT19</f>
        <v>1.7480774747999999</v>
      </c>
      <c r="AU21" s="111">
        <v>1</v>
      </c>
      <c r="AV21" s="35">
        <v>1</v>
      </c>
      <c r="AW21" s="35"/>
      <c r="AX21" s="61"/>
      <c r="AY21" s="61"/>
      <c r="AZ21" s="61">
        <f>+AU21*D21</f>
        <v>40</v>
      </c>
      <c r="BA21" s="61">
        <f>+AV21*D21</f>
        <v>40</v>
      </c>
      <c r="BB21" s="61">
        <f>+AW21*D21</f>
        <v>0</v>
      </c>
      <c r="BC21" s="61">
        <f>+BB21+BB21</f>
        <v>0</v>
      </c>
      <c r="BD21" s="61"/>
      <c r="BE21" s="61"/>
      <c r="BF21" s="61"/>
      <c r="BG21" s="61"/>
      <c r="BH21" s="61"/>
      <c r="BI21" s="61"/>
      <c r="BJ21" s="61"/>
      <c r="BK21" s="61"/>
      <c r="BL21" s="61"/>
    </row>
    <row r="22" spans="2:64" x14ac:dyDescent="0.2"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4"/>
      <c r="AO22" s="165"/>
      <c r="AP22" s="166"/>
      <c r="AQ22" s="166"/>
      <c r="AR22" s="166"/>
      <c r="AS22" s="166"/>
      <c r="AT22" s="167"/>
      <c r="AU22" s="107"/>
      <c r="AV22" s="107"/>
      <c r="AW22" s="96"/>
      <c r="AX22" s="35"/>
      <c r="AY22" s="35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</row>
    <row r="23" spans="2:64" ht="12" customHeight="1" x14ac:dyDescent="0.2">
      <c r="B23" s="114">
        <v>8</v>
      </c>
      <c r="C23" s="61">
        <f>C21+1</f>
        <v>9</v>
      </c>
      <c r="D23" s="37">
        <v>40</v>
      </c>
      <c r="E23" s="61"/>
      <c r="F23" s="61"/>
      <c r="G23" s="61"/>
      <c r="H23" s="61"/>
      <c r="I23" s="61"/>
      <c r="J23" s="61"/>
      <c r="K23" s="61"/>
      <c r="L23" s="61"/>
      <c r="M23" s="61">
        <v>1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38">
        <f>(E23*E$4+F23*F$4+G23*G$4+H23*$H$4+I23*I$4+J23*J$4+K23*K$4+L23*L$4+O23*O$4+Q23*Q$4+M23*$M$4+N23*$N$4+R23*$R$4+S23*$S$4+T23*$T$4+U23*$U$4+P23*$P$4)/1000</f>
        <v>1.113</v>
      </c>
      <c r="AN23" s="37">
        <f>AM23*D23</f>
        <v>44.519999999999996</v>
      </c>
      <c r="AO23" s="61">
        <v>4</v>
      </c>
      <c r="AP23" s="61">
        <v>4</v>
      </c>
      <c r="AQ23" s="61"/>
      <c r="AR23" s="61">
        <v>3</v>
      </c>
      <c r="AS23" s="36">
        <f>AN23*VLOOKUP(AO23&amp;"-"&amp;AR23&amp;"F",tabla,2,FALSE)</f>
        <v>0.14657853839999999</v>
      </c>
      <c r="AT23" s="115">
        <f>AS23+AT21</f>
        <v>1.8946560131999999</v>
      </c>
      <c r="AU23" s="111">
        <v>1</v>
      </c>
      <c r="AV23" s="35">
        <v>1</v>
      </c>
      <c r="AW23" s="35"/>
      <c r="AX23" s="35"/>
      <c r="AY23" s="35"/>
      <c r="AZ23" s="61">
        <f>+AU23*D23</f>
        <v>40</v>
      </c>
      <c r="BA23" s="61">
        <f>+AV23*D23</f>
        <v>40</v>
      </c>
      <c r="BB23" s="61">
        <f>+AW23*D23</f>
        <v>0</v>
      </c>
      <c r="BC23" s="61">
        <f>+BB23+BB23</f>
        <v>0</v>
      </c>
      <c r="BD23" s="61"/>
      <c r="BE23" s="61"/>
      <c r="BF23" s="61"/>
      <c r="BG23" s="61"/>
      <c r="BH23" s="61"/>
      <c r="BI23" s="61"/>
      <c r="BJ23" s="61"/>
      <c r="BK23" s="61"/>
      <c r="BL23" s="61"/>
    </row>
    <row r="24" spans="2:64" x14ac:dyDescent="0.2"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4"/>
      <c r="AO24" s="165"/>
      <c r="AP24" s="166"/>
      <c r="AQ24" s="166"/>
      <c r="AR24" s="166"/>
      <c r="AS24" s="166"/>
      <c r="AT24" s="167"/>
      <c r="AU24" s="107"/>
      <c r="AV24" s="107"/>
      <c r="AW24" s="96"/>
      <c r="AX24" s="35"/>
      <c r="AY24" s="35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</row>
    <row r="25" spans="2:64" x14ac:dyDescent="0.2">
      <c r="B25" s="114">
        <v>9</v>
      </c>
      <c r="C25" s="61">
        <f>C23+1</f>
        <v>10</v>
      </c>
      <c r="D25" s="37">
        <v>40</v>
      </c>
      <c r="E25" s="61"/>
      <c r="F25" s="61"/>
      <c r="G25" s="61"/>
      <c r="H25" s="61"/>
      <c r="I25" s="61"/>
      <c r="J25" s="61"/>
      <c r="K25" s="61"/>
      <c r="L25" s="61"/>
      <c r="M25" s="61"/>
      <c r="N25" s="61">
        <v>1</v>
      </c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38">
        <f>(E25*E$4+F25*F$4+G25*G$4+H25*$H$4+I25*I$4+J25*J$4+K25*K$4+L25*L$4+O25*O$4+Q25*Q$4+M25*$M$4+N25*$N$4+R25*$R$4+S25*$S$4+T25*$T$4+U25*$U$4+P25*$P$4)/1000</f>
        <v>0.95399999999999996</v>
      </c>
      <c r="AN25" s="37">
        <f>AM25*D25</f>
        <v>38.159999999999997</v>
      </c>
      <c r="AO25" s="61">
        <v>4</v>
      </c>
      <c r="AP25" s="61">
        <v>4</v>
      </c>
      <c r="AQ25" s="61"/>
      <c r="AR25" s="61">
        <v>3</v>
      </c>
      <c r="AS25" s="36">
        <f>AN25*VLOOKUP(AO25&amp;"-"&amp;AR25&amp;"F",tabla,2,FALSE)</f>
        <v>0.12563874719999998</v>
      </c>
      <c r="AT25" s="115">
        <f>AS25+AT23</f>
        <v>2.0202947603999997</v>
      </c>
      <c r="AU25" s="111">
        <v>1</v>
      </c>
      <c r="AV25" s="35">
        <v>1</v>
      </c>
      <c r="AW25" s="35"/>
      <c r="AX25" s="35"/>
      <c r="AY25" s="35"/>
      <c r="AZ25" s="61">
        <f>+AU25*D25</f>
        <v>40</v>
      </c>
      <c r="BA25" s="61">
        <f>+AV25*D25</f>
        <v>40</v>
      </c>
      <c r="BB25" s="61">
        <f>+AW25*D25</f>
        <v>0</v>
      </c>
      <c r="BC25" s="61">
        <f>+BB25+BB25</f>
        <v>0</v>
      </c>
      <c r="BD25" s="61"/>
      <c r="BE25" s="61"/>
      <c r="BF25" s="61"/>
      <c r="BG25" s="61"/>
      <c r="BH25" s="61"/>
      <c r="BI25" s="61"/>
      <c r="BJ25" s="61"/>
      <c r="BK25" s="61"/>
      <c r="BL25" s="61"/>
    </row>
    <row r="26" spans="2:64" x14ac:dyDescent="0.2"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4"/>
      <c r="AO26" s="165"/>
      <c r="AP26" s="166"/>
      <c r="AQ26" s="166"/>
      <c r="AR26" s="166"/>
      <c r="AS26" s="166"/>
      <c r="AT26" s="167"/>
      <c r="AU26" s="166"/>
      <c r="AV26" s="166"/>
      <c r="AW26" s="188"/>
      <c r="AX26" s="35"/>
      <c r="AY26" s="35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2:64" x14ac:dyDescent="0.2">
      <c r="B27" s="114">
        <v>10</v>
      </c>
      <c r="C27" s="61">
        <f>C25+1</f>
        <v>11</v>
      </c>
      <c r="D27" s="37">
        <v>40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1</v>
      </c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38">
        <f>(E27*E$4+F27*F$4+G27*G$4+H27*$H$4+I27*I$4+J27*J$4+K27*K$4+L27*L$4+O27*O$4+Q27*Q$4+M27*$M$4+N27*$N$4+R27*$R$4+S27*$S$4+T27*$T$4+U27*$U$4+P27*$P$4)/1000</f>
        <v>0.79500000000000004</v>
      </c>
      <c r="AN27" s="37">
        <f>AM27*D27</f>
        <v>31.8</v>
      </c>
      <c r="AO27" s="61">
        <v>4</v>
      </c>
      <c r="AP27" s="61">
        <v>4</v>
      </c>
      <c r="AQ27" s="61"/>
      <c r="AR27" s="61">
        <v>3</v>
      </c>
      <c r="AS27" s="36">
        <f>AN27*VLOOKUP(AO27&amp;"-"&amp;AR27&amp;"F",tabla,2,FALSE)</f>
        <v>0.104698956</v>
      </c>
      <c r="AT27" s="115">
        <f>AS27+AT25</f>
        <v>2.1249937163999997</v>
      </c>
      <c r="AU27" s="111">
        <v>1</v>
      </c>
      <c r="AV27" s="35">
        <v>1</v>
      </c>
      <c r="AW27" s="35"/>
      <c r="AX27" s="35"/>
      <c r="AY27" s="35"/>
      <c r="AZ27" s="61">
        <f>+AU27*D27</f>
        <v>40</v>
      </c>
      <c r="BA27" s="61">
        <f>+AV27*D27</f>
        <v>40</v>
      </c>
      <c r="BB27" s="61">
        <f>+AW27*D27</f>
        <v>0</v>
      </c>
      <c r="BC27" s="61">
        <f>+BB27+BB27</f>
        <v>0</v>
      </c>
      <c r="BD27" s="61"/>
      <c r="BE27" s="61"/>
      <c r="BF27" s="61"/>
      <c r="BG27" s="61"/>
      <c r="BH27" s="61"/>
      <c r="BI27" s="61"/>
      <c r="BJ27" s="61"/>
      <c r="BK27" s="61"/>
      <c r="BL27" s="61"/>
    </row>
    <row r="28" spans="2:64" x14ac:dyDescent="0.2"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4"/>
      <c r="AO28" s="165"/>
      <c r="AP28" s="166"/>
      <c r="AQ28" s="166"/>
      <c r="AR28" s="166"/>
      <c r="AS28" s="166"/>
      <c r="AT28" s="167"/>
      <c r="AU28" s="107"/>
      <c r="AV28" s="107"/>
      <c r="AW28" s="96"/>
      <c r="AX28" s="35"/>
      <c r="AY28" s="35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2:64" x14ac:dyDescent="0.2">
      <c r="B29" s="114">
        <v>11</v>
      </c>
      <c r="C29" s="61">
        <v>12</v>
      </c>
      <c r="D29" s="37">
        <v>40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>
        <v>1</v>
      </c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38">
        <f>(E29*E$4+F29*F$4+G29*G$4+H29*$H$4+I29*I$4+J29*J$4+K29*K$4+L29*L$4+O29*O$4+Q29*Q$4+M29*$M$4+N29*$N$4+R29*$R$4+S29*$S$4+T29*$T$4+U29*$U$4+P29*$P$4)/1000</f>
        <v>0.63600000000000001</v>
      </c>
      <c r="AN29" s="37">
        <f>AM29*D29</f>
        <v>25.44</v>
      </c>
      <c r="AO29" s="61">
        <v>4</v>
      </c>
      <c r="AP29" s="61">
        <v>4</v>
      </c>
      <c r="AQ29" s="61"/>
      <c r="AR29" s="61">
        <v>1</v>
      </c>
      <c r="AS29" s="36">
        <f>AN29*VLOOKUP(AO29&amp;"-"&amp;AR29&amp;"F",tabla,2,FALSE)</f>
        <v>0.15057147360000001</v>
      </c>
      <c r="AT29" s="115">
        <f>AS29+AT27</f>
        <v>2.2755651899999996</v>
      </c>
      <c r="AU29" s="111">
        <v>1</v>
      </c>
      <c r="AV29" s="35">
        <v>1</v>
      </c>
      <c r="AW29" s="35"/>
      <c r="AX29" s="35"/>
      <c r="AY29" s="35"/>
      <c r="AZ29" s="61">
        <f>+AU29*D29</f>
        <v>40</v>
      </c>
      <c r="BA29" s="61">
        <f>+AV29*D29</f>
        <v>40</v>
      </c>
      <c r="BB29" s="61">
        <f>+AW29*D29</f>
        <v>0</v>
      </c>
      <c r="BC29" s="61">
        <f>+BB29+BB29</f>
        <v>0</v>
      </c>
      <c r="BD29" s="61"/>
      <c r="BE29" s="61"/>
      <c r="BF29" s="61"/>
      <c r="BG29" s="61"/>
      <c r="BH29" s="61"/>
      <c r="BI29" s="61"/>
      <c r="BJ29" s="61"/>
      <c r="BK29" s="61"/>
      <c r="BL29" s="61"/>
    </row>
    <row r="30" spans="2:64" x14ac:dyDescent="0.2">
      <c r="B30" s="186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07"/>
      <c r="AP30" s="107"/>
      <c r="AQ30" s="107"/>
      <c r="AR30" s="107"/>
      <c r="AS30" s="107"/>
      <c r="AT30" s="113"/>
      <c r="AU30" s="107"/>
      <c r="AV30" s="107"/>
      <c r="AW30" s="96"/>
      <c r="AX30" s="35"/>
      <c r="AY30" s="35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</row>
    <row r="31" spans="2:64" x14ac:dyDescent="0.2">
      <c r="B31" s="114">
        <v>12</v>
      </c>
      <c r="C31" s="61">
        <v>13</v>
      </c>
      <c r="D31" s="37">
        <v>40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1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38">
        <f>(E31*E$4+F31*F$4+G31*G$4+H31*$H$4+I31*I$4+J31*J$4+K31*K$4+L31*L$4+O31*O$4+Q31*Q$4+M31*$M$4+N31*$N$4+R31*$R$4+S31*$S$4+T31*$T$4+U31*$U$4+P31*$P$4)/1000</f>
        <v>0.47699999999999998</v>
      </c>
      <c r="AN31" s="37">
        <f>AM31*D31</f>
        <v>19.079999999999998</v>
      </c>
      <c r="AO31" s="61">
        <v>4</v>
      </c>
      <c r="AP31" s="61">
        <v>4</v>
      </c>
      <c r="AQ31" s="61"/>
      <c r="AR31" s="61">
        <v>1</v>
      </c>
      <c r="AS31" s="36">
        <f>AN31*VLOOKUP(AO31&amp;"-"&amp;AR31&amp;"F",tabla,2,FALSE)</f>
        <v>0.11292860519999999</v>
      </c>
      <c r="AT31" s="115">
        <f>AS31+AT29</f>
        <v>2.3884937951999996</v>
      </c>
      <c r="AU31" s="111">
        <v>1</v>
      </c>
      <c r="AV31" s="35">
        <v>1</v>
      </c>
      <c r="AW31" s="35"/>
      <c r="AX31" s="61"/>
      <c r="AY31" s="61"/>
      <c r="AZ31" s="61">
        <f>+AU31*D31</f>
        <v>40</v>
      </c>
      <c r="BA31" s="61">
        <f>+AV31*D31</f>
        <v>40</v>
      </c>
      <c r="BB31" s="61">
        <f>+AW31*D31</f>
        <v>0</v>
      </c>
      <c r="BC31" s="61">
        <f>+BB31+BB31</f>
        <v>0</v>
      </c>
      <c r="BD31" s="61"/>
      <c r="BE31" s="61"/>
      <c r="BF31" s="61"/>
      <c r="BG31" s="61"/>
      <c r="BH31" s="61"/>
      <c r="BI31" s="61"/>
      <c r="BJ31" s="61"/>
      <c r="BK31" s="61"/>
      <c r="BL31" s="61"/>
    </row>
    <row r="32" spans="2:64" x14ac:dyDescent="0.2"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5"/>
      <c r="AP32" s="166"/>
      <c r="AQ32" s="166"/>
      <c r="AR32" s="166"/>
      <c r="AS32" s="166"/>
      <c r="AT32" s="167"/>
      <c r="AU32" s="174"/>
      <c r="AV32" s="174"/>
      <c r="AW32" s="174"/>
      <c r="AX32" s="35"/>
      <c r="AY32" s="35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</row>
    <row r="33" spans="2:64" x14ac:dyDescent="0.2">
      <c r="B33" s="114">
        <v>13</v>
      </c>
      <c r="C33" s="61">
        <v>14</v>
      </c>
      <c r="D33" s="37">
        <v>40</v>
      </c>
      <c r="E33" s="61"/>
      <c r="F33" s="61"/>
      <c r="G33" s="35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>
        <v>1</v>
      </c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38">
        <f>(E33*E$4+F33*F$4+G33*G$4+H33*$H$4+I33*I$4+J33*J$4+K33*K$4+L33*L$4+O33*O$4+Q33*Q$4+M33*$M$4+N33*$N$4+R33*$R$4+S33*$S$4+T33*$T$4+U33*$U$4+P33*$P$4)/1000</f>
        <v>0.318</v>
      </c>
      <c r="AN33" s="37">
        <f>AM33*D33</f>
        <v>12.72</v>
      </c>
      <c r="AO33" s="61">
        <v>4</v>
      </c>
      <c r="AP33" s="61">
        <v>4</v>
      </c>
      <c r="AQ33" s="61"/>
      <c r="AR33" s="61">
        <v>1</v>
      </c>
      <c r="AS33" s="36">
        <f>AN33*VLOOKUP(AO33&amp;"-"&amp;AR33&amp;"F",tabla,2,FALSE)</f>
        <v>7.5285736800000003E-2</v>
      </c>
      <c r="AT33" s="115">
        <f>AS33+AT31</f>
        <v>2.4637795319999998</v>
      </c>
      <c r="AU33" s="111">
        <v>1</v>
      </c>
      <c r="AV33" s="35">
        <v>1</v>
      </c>
      <c r="AW33" s="35"/>
      <c r="AX33" s="61"/>
      <c r="AY33" s="61"/>
      <c r="AZ33" s="61">
        <f>+AU33*D33</f>
        <v>40</v>
      </c>
      <c r="BA33" s="61">
        <f>+AV33*D33</f>
        <v>40</v>
      </c>
      <c r="BB33" s="61">
        <f>+AW33*D33</f>
        <v>0</v>
      </c>
      <c r="BC33" s="61">
        <f>+BB33+BB33</f>
        <v>0</v>
      </c>
      <c r="BD33" s="61"/>
      <c r="BE33" s="61"/>
      <c r="BF33" s="61"/>
      <c r="BG33" s="61"/>
      <c r="BH33" s="61"/>
      <c r="BI33" s="61"/>
      <c r="BJ33" s="61"/>
      <c r="BK33" s="61"/>
      <c r="BL33" s="61"/>
    </row>
    <row r="34" spans="2:64" x14ac:dyDescent="0.2"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4"/>
      <c r="AO34" s="165"/>
      <c r="AP34" s="166"/>
      <c r="AQ34" s="166"/>
      <c r="AR34" s="166"/>
      <c r="AS34" s="166"/>
      <c r="AT34" s="167"/>
      <c r="AU34" s="107"/>
      <c r="AV34" s="107"/>
      <c r="AW34" s="96"/>
      <c r="AX34" s="35"/>
      <c r="AY34" s="35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2:64" x14ac:dyDescent="0.2">
      <c r="B35" s="114">
        <v>14</v>
      </c>
      <c r="C35" s="61">
        <v>15</v>
      </c>
      <c r="D35" s="37">
        <v>40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>
        <v>1</v>
      </c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38">
        <f>(E35*E$4+F35*F$4+G35*G$4+H35*$H$4+I35*I$4+J35*J$4+K35*K$4+L35*L$4+O35*O$4+Q35*Q$4+M35*$M$4+N35*$N$4+R35*$R$4+S35*$S$4+T35*$T$4+U35*$U$4+P35*$P$4)/1000</f>
        <v>0.159</v>
      </c>
      <c r="AN35" s="37">
        <f>AM35*D35</f>
        <v>6.36</v>
      </c>
      <c r="AO35" s="61">
        <v>4</v>
      </c>
      <c r="AP35" s="61">
        <v>4</v>
      </c>
      <c r="AQ35" s="61"/>
      <c r="AR35" s="61">
        <v>1</v>
      </c>
      <c r="AS35" s="36">
        <f>AN35*VLOOKUP(AO35&amp;"-"&amp;AR35&amp;"F",tabla,2,FALSE)</f>
        <v>3.7642868400000001E-2</v>
      </c>
      <c r="AT35" s="128">
        <f>AS35+AT33</f>
        <v>2.5014224003999996</v>
      </c>
      <c r="AU35" s="111">
        <v>1</v>
      </c>
      <c r="AV35" s="35">
        <v>1</v>
      </c>
      <c r="AW35" s="35"/>
      <c r="AX35" s="35"/>
      <c r="AY35" s="35"/>
      <c r="AZ35" s="61">
        <f>+AU35*D35</f>
        <v>40</v>
      </c>
      <c r="BA35" s="61">
        <f>+AV35*D35</f>
        <v>40</v>
      </c>
      <c r="BB35" s="61">
        <f>+AW35*D35</f>
        <v>0</v>
      </c>
      <c r="BC35" s="61">
        <f>+BB35+BB35</f>
        <v>0</v>
      </c>
      <c r="BD35" s="61"/>
      <c r="BE35" s="61"/>
      <c r="BF35" s="61"/>
      <c r="BG35" s="61"/>
      <c r="BH35" s="61"/>
      <c r="BI35" s="61"/>
      <c r="BJ35" s="61"/>
      <c r="BK35" s="61"/>
      <c r="BL35" s="61"/>
    </row>
    <row r="36" spans="2:64" hidden="1" x14ac:dyDescent="0.2"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4"/>
      <c r="AO36" s="165"/>
      <c r="AP36" s="166"/>
      <c r="AQ36" s="166"/>
      <c r="AR36" s="166"/>
      <c r="AS36" s="166"/>
      <c r="AT36" s="167"/>
      <c r="AU36" s="107"/>
      <c r="AV36" s="107"/>
      <c r="AW36" s="96"/>
      <c r="AX36" s="35"/>
      <c r="AY36" s="35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</row>
    <row r="37" spans="2:64" hidden="1" x14ac:dyDescent="0.2">
      <c r="B37" s="114"/>
      <c r="C37" s="61"/>
      <c r="D37" s="3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>
        <v>1</v>
      </c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38">
        <f>(E37*E$4+F37*F$4+G37*G$4+H37*$H$4+I37*I$4+J37*J$4+K37*K$4+L37*L$4+O37*O$4+Q37*Q$4+M37*$M$4+N37*$N$4+R37*$R$4+S37*$S$4+T37*$T$4+U37*$U$4+P37*$P$4)/1000</f>
        <v>0</v>
      </c>
      <c r="AN37" s="37">
        <f>AM37*D37</f>
        <v>0</v>
      </c>
      <c r="AO37" s="61">
        <v>4</v>
      </c>
      <c r="AP37" s="61">
        <v>4</v>
      </c>
      <c r="AQ37" s="61"/>
      <c r="AR37" s="61">
        <v>1</v>
      </c>
      <c r="AS37" s="36">
        <f>AN37*VLOOKUP(AO37&amp;"-"&amp;AR37&amp;"F",tabla,2,FALSE)</f>
        <v>0</v>
      </c>
      <c r="AT37" s="115">
        <f>AS37+AT35</f>
        <v>2.5014224003999996</v>
      </c>
      <c r="AU37" s="111">
        <v>1</v>
      </c>
      <c r="AV37" s="35">
        <v>1</v>
      </c>
      <c r="AW37" s="35"/>
      <c r="AX37" s="35"/>
      <c r="AY37" s="35"/>
      <c r="AZ37" s="61">
        <f>+AU37*D37</f>
        <v>0</v>
      </c>
      <c r="BA37" s="61">
        <f>+AV37*D37</f>
        <v>0</v>
      </c>
      <c r="BB37" s="61">
        <f>+AW37*D37</f>
        <v>0</v>
      </c>
      <c r="BC37" s="61">
        <f>+BB37+BB37</f>
        <v>0</v>
      </c>
      <c r="BD37" s="61"/>
      <c r="BE37" s="61"/>
      <c r="BF37" s="61"/>
      <c r="BG37" s="61"/>
      <c r="BH37" s="61"/>
      <c r="BI37" s="61"/>
      <c r="BJ37" s="61"/>
      <c r="BK37" s="61"/>
      <c r="BL37" s="61"/>
    </row>
    <row r="38" spans="2:64" hidden="1" x14ac:dyDescent="0.2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4"/>
      <c r="AO38" s="165"/>
      <c r="AP38" s="166"/>
      <c r="AQ38" s="166"/>
      <c r="AR38" s="166"/>
      <c r="AS38" s="166"/>
      <c r="AT38" s="167"/>
      <c r="AU38" s="166"/>
      <c r="AV38" s="166"/>
      <c r="AW38" s="188"/>
      <c r="AX38" s="35"/>
      <c r="AY38" s="35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</row>
    <row r="39" spans="2:64" hidden="1" x14ac:dyDescent="0.2">
      <c r="B39" s="114"/>
      <c r="C39" s="61"/>
      <c r="D39" s="37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>
        <v>1</v>
      </c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38">
        <f>(E39*E$4+F39*F$4+G39*G$4+H39*$H$4+I39*I$4+J39*J$4+K39*K$4+L39*L$4+O39*O$4+Q39*Q$4+M39*$M$4+N39*$N$4+R39*$R$4+S39*$S$4+T39*$T$4+U39*$U$4+P39*$P$4)/1000</f>
        <v>0</v>
      </c>
      <c r="AN39" s="37">
        <f>AM39*D39</f>
        <v>0</v>
      </c>
      <c r="AO39" s="61">
        <v>4</v>
      </c>
      <c r="AP39" s="61">
        <v>4</v>
      </c>
      <c r="AQ39" s="61"/>
      <c r="AR39" s="61">
        <v>1</v>
      </c>
      <c r="AS39" s="36">
        <f>AN39*VLOOKUP(AO39&amp;"-"&amp;AR39&amp;"F",tabla,2,FALSE)</f>
        <v>0</v>
      </c>
      <c r="AT39" s="116">
        <f>AS39+AT37</f>
        <v>2.5014224003999996</v>
      </c>
      <c r="AU39" s="111">
        <v>1</v>
      </c>
      <c r="AV39" s="35">
        <v>1</v>
      </c>
      <c r="AW39" s="35"/>
      <c r="AX39" s="35"/>
      <c r="AY39" s="35"/>
      <c r="AZ39" s="61">
        <f>+AU39*D39</f>
        <v>0</v>
      </c>
      <c r="BA39" s="61">
        <f>+AV39*D39</f>
        <v>0</v>
      </c>
      <c r="BB39" s="61">
        <f>+AW39*D39</f>
        <v>0</v>
      </c>
      <c r="BC39" s="61">
        <f>+BB39+BB39</f>
        <v>0</v>
      </c>
      <c r="BD39" s="61"/>
      <c r="BE39" s="61"/>
      <c r="BF39" s="61"/>
      <c r="BG39" s="61"/>
      <c r="BH39" s="61"/>
      <c r="BI39" s="61"/>
      <c r="BJ39" s="61"/>
      <c r="BK39" s="61"/>
      <c r="BL39" s="61"/>
    </row>
    <row r="40" spans="2:64" hidden="1" x14ac:dyDescent="0.2"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4"/>
      <c r="AO40" s="165"/>
      <c r="AP40" s="166"/>
      <c r="AQ40" s="166"/>
      <c r="AR40" s="166"/>
      <c r="AS40" s="166"/>
      <c r="AT40" s="167"/>
      <c r="AU40" s="107"/>
      <c r="AV40" s="107"/>
      <c r="AW40" s="96"/>
      <c r="AX40" s="35"/>
      <c r="AY40" s="35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</row>
    <row r="41" spans="2:64" hidden="1" x14ac:dyDescent="0.2">
      <c r="B41" s="114"/>
      <c r="C41" s="61"/>
      <c r="D41" s="37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>
        <v>1</v>
      </c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38">
        <f>(E41*E$4+F41*F$4+G41*G$4+H41*$H$4+I41*I$4+J41*J$4+K41*K$4+L41*L$4+O41*O$4+Q41*Q$4+M41*$M$4+N41*$N$4+R41*$R$4+S41*$S$4+T41*$T$4+U41*$U$4+P41*$P$4+V41*V4)/1000</f>
        <v>0</v>
      </c>
      <c r="AN41" s="37">
        <f>AM41*D41</f>
        <v>0</v>
      </c>
      <c r="AO41" s="61">
        <v>4</v>
      </c>
      <c r="AP41" s="61">
        <v>4</v>
      </c>
      <c r="AQ41" s="61"/>
      <c r="AR41" s="61">
        <v>1</v>
      </c>
      <c r="AS41" s="36">
        <f>AN41*VLOOKUP(AO41&amp;"-"&amp;AR41&amp;"F",tabla,2,FALSE)</f>
        <v>0</v>
      </c>
      <c r="AT41" s="115">
        <f>AS41+AT39</f>
        <v>2.5014224003999996</v>
      </c>
      <c r="AU41" s="111">
        <v>1</v>
      </c>
      <c r="AV41" s="35">
        <v>1</v>
      </c>
      <c r="AW41" s="35"/>
      <c r="AX41" s="35"/>
      <c r="AY41" s="35"/>
      <c r="AZ41" s="61">
        <f>+AU41*D41</f>
        <v>0</v>
      </c>
      <c r="BA41" s="61">
        <f>+AV41*D41</f>
        <v>0</v>
      </c>
      <c r="BB41" s="61">
        <f>+AW41*D41</f>
        <v>0</v>
      </c>
      <c r="BC41" s="61">
        <f>+BB41+BB41</f>
        <v>0</v>
      </c>
      <c r="BD41" s="61"/>
      <c r="BE41" s="61"/>
      <c r="BF41" s="61"/>
      <c r="BG41" s="61"/>
      <c r="BH41" s="61"/>
      <c r="BI41" s="61"/>
      <c r="BJ41" s="61"/>
      <c r="BK41" s="61"/>
      <c r="BL41" s="61"/>
    </row>
    <row r="42" spans="2:64" hidden="1" x14ac:dyDescent="0.2"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5"/>
      <c r="AP42" s="166"/>
      <c r="AQ42" s="166"/>
      <c r="AR42" s="166"/>
      <c r="AS42" s="166"/>
      <c r="AT42" s="167"/>
      <c r="AU42" s="174"/>
      <c r="AV42" s="174"/>
      <c r="AW42" s="174"/>
      <c r="AX42" s="35"/>
      <c r="AY42" s="35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</row>
    <row r="43" spans="2:64" hidden="1" x14ac:dyDescent="0.2">
      <c r="B43" s="114"/>
      <c r="C43" s="61"/>
      <c r="D43" s="37"/>
      <c r="E43" s="61"/>
      <c r="F43" s="61"/>
      <c r="G43" s="35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>
        <v>1</v>
      </c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38">
        <f>(E43*E$4+F43*F$4+G43*G$4+H43*$H$4+I43*I$4+J43*J$4+K43*K$4+L43*L$4+O43*O$4+Q43*Q$4+M43*$M$4+N43*$N$4+R43*$R$4+S43*$S$4+T43*$T$4+U43*$U$4+P43*$P$4+W43*W4)/1000</f>
        <v>0</v>
      </c>
      <c r="AN43" s="37">
        <f>AM43*D43</f>
        <v>0</v>
      </c>
      <c r="AO43" s="61">
        <v>4</v>
      </c>
      <c r="AP43" s="61">
        <v>4</v>
      </c>
      <c r="AQ43" s="61"/>
      <c r="AR43" s="61">
        <v>1</v>
      </c>
      <c r="AS43" s="36">
        <f>AN43*VLOOKUP(AO43&amp;"-"&amp;AR43&amp;"F",tabla,2,FALSE)</f>
        <v>0</v>
      </c>
      <c r="AT43" s="115">
        <f>AS43+AT41</f>
        <v>2.5014224003999996</v>
      </c>
      <c r="AU43" s="111">
        <v>1</v>
      </c>
      <c r="AV43" s="35">
        <v>1</v>
      </c>
      <c r="AW43" s="35"/>
      <c r="AX43" s="61"/>
      <c r="AY43" s="61"/>
      <c r="AZ43" s="61">
        <f>+AU43*D43</f>
        <v>0</v>
      </c>
      <c r="BA43" s="61">
        <f>+AV43*D43</f>
        <v>0</v>
      </c>
      <c r="BB43" s="61">
        <f>+AW43*D43</f>
        <v>0</v>
      </c>
      <c r="BC43" s="61">
        <f>+BB43+BB43</f>
        <v>0</v>
      </c>
      <c r="BD43" s="61"/>
      <c r="BE43" s="61"/>
      <c r="BF43" s="61"/>
      <c r="BG43" s="61"/>
      <c r="BH43" s="61"/>
      <c r="BI43" s="61"/>
      <c r="BJ43" s="61"/>
      <c r="BK43" s="61"/>
      <c r="BL43" s="61"/>
    </row>
    <row r="44" spans="2:64" hidden="1" x14ac:dyDescent="0.2"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4"/>
      <c r="AO44" s="165"/>
      <c r="AP44" s="166"/>
      <c r="AQ44" s="166"/>
      <c r="AR44" s="166"/>
      <c r="AS44" s="166"/>
      <c r="AT44" s="167"/>
      <c r="AU44" s="107"/>
      <c r="AV44" s="107"/>
      <c r="AW44" s="96"/>
      <c r="AX44" s="35"/>
      <c r="AY44" s="35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</row>
    <row r="45" spans="2:64" hidden="1" x14ac:dyDescent="0.2">
      <c r="B45" s="114"/>
      <c r="C45" s="61"/>
      <c r="D45" s="37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>
        <v>1</v>
      </c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38">
        <f>(E45*E$4+F45*F$4+G45*G$4+H45*$H$4+I45*I$4+J45*J$4+K45*K$4+L45*L$4+O45*O$4+Q45*Q$4+M45*$M$4+N45*$N$4+R45*$R$4+S45*$S$4+T45*$T$4+U45*$U$4+P45*$P$4+X45*X4)/1000</f>
        <v>0</v>
      </c>
      <c r="AN45" s="37">
        <f>AM45*D45</f>
        <v>0</v>
      </c>
      <c r="AO45" s="61">
        <v>4</v>
      </c>
      <c r="AP45" s="61">
        <v>4</v>
      </c>
      <c r="AQ45" s="61"/>
      <c r="AR45" s="61">
        <v>1</v>
      </c>
      <c r="AS45" s="36">
        <f>AN45*VLOOKUP(AO45&amp;"-"&amp;AR45&amp;"F",tabla,2,FALSE)</f>
        <v>0</v>
      </c>
      <c r="AT45" s="115">
        <f>AS45+AT43</f>
        <v>2.5014224003999996</v>
      </c>
      <c r="AU45" s="111">
        <v>1</v>
      </c>
      <c r="AV45" s="35">
        <v>1</v>
      </c>
      <c r="AW45" s="35"/>
      <c r="AX45" s="35"/>
      <c r="AY45" s="35"/>
      <c r="AZ45" s="61">
        <f>+AU45*D45</f>
        <v>0</v>
      </c>
      <c r="BA45" s="61">
        <f>+AV45*D45</f>
        <v>0</v>
      </c>
      <c r="BB45" s="61">
        <f>+AW45*D45</f>
        <v>0</v>
      </c>
      <c r="BC45" s="61">
        <f>+BB45+BB45</f>
        <v>0</v>
      </c>
      <c r="BD45" s="61"/>
      <c r="BE45" s="61"/>
      <c r="BF45" s="61"/>
      <c r="BG45" s="61"/>
      <c r="BH45" s="61"/>
      <c r="BI45" s="61"/>
      <c r="BJ45" s="61"/>
      <c r="BK45" s="61"/>
      <c r="BL45" s="61"/>
    </row>
    <row r="46" spans="2:64" hidden="1" x14ac:dyDescent="0.2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4"/>
      <c r="AO46" s="165"/>
      <c r="AP46" s="166"/>
      <c r="AQ46" s="166"/>
      <c r="AR46" s="166"/>
      <c r="AS46" s="166"/>
      <c r="AT46" s="167"/>
      <c r="AU46" s="107"/>
      <c r="AV46" s="107"/>
      <c r="AW46" s="96"/>
      <c r="AX46" s="35"/>
      <c r="AY46" s="35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</row>
    <row r="47" spans="2:64" hidden="1" x14ac:dyDescent="0.2">
      <c r="B47" s="114"/>
      <c r="C47" s="61"/>
      <c r="D47" s="37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>
        <v>1</v>
      </c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38">
        <f>(E47*E$4+F47*F$4+G47*G$4+H47*$H$4+I47*I$4+J47*J$4+K47*K$4+L47*L$4+O47*O$4+Q47*Q$4+M47*$M$4+N47*$N$4+R47*$R$4+S47*$S$4+T47*$T$4+U47*$U$4+P47*$P$4+Y47*Y4)/1000</f>
        <v>0</v>
      </c>
      <c r="AN47" s="37">
        <f>AM47*D47</f>
        <v>0</v>
      </c>
      <c r="AO47" s="61">
        <v>4</v>
      </c>
      <c r="AP47" s="61">
        <v>4</v>
      </c>
      <c r="AQ47" s="61"/>
      <c r="AR47" s="61">
        <v>1</v>
      </c>
      <c r="AS47" s="36">
        <f>AN47*VLOOKUP(AO47&amp;"-"&amp;AR47&amp;"F",tabla,2,FALSE)</f>
        <v>0</v>
      </c>
      <c r="AT47" s="115">
        <f>AS47+AT43</f>
        <v>2.5014224003999996</v>
      </c>
      <c r="AU47" s="111">
        <v>1</v>
      </c>
      <c r="AV47" s="35">
        <v>1</v>
      </c>
      <c r="AW47" s="35"/>
      <c r="AX47" s="35"/>
      <c r="AY47" s="35"/>
      <c r="AZ47" s="61">
        <f>+AU47*D47</f>
        <v>0</v>
      </c>
      <c r="BA47" s="61">
        <f>+AV47*D47</f>
        <v>0</v>
      </c>
      <c r="BB47" s="61">
        <f>+AW47*D47</f>
        <v>0</v>
      </c>
      <c r="BC47" s="61">
        <f>+BB47+BB47</f>
        <v>0</v>
      </c>
      <c r="BD47" s="61"/>
      <c r="BE47" s="61"/>
      <c r="BF47" s="61"/>
      <c r="BG47" s="61"/>
      <c r="BH47" s="61"/>
      <c r="BI47" s="61"/>
      <c r="BJ47" s="61"/>
      <c r="BK47" s="61"/>
      <c r="BL47" s="61"/>
    </row>
    <row r="48" spans="2:64" hidden="1" x14ac:dyDescent="0.2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4"/>
      <c r="AO48" s="165"/>
      <c r="AP48" s="166"/>
      <c r="AQ48" s="166"/>
      <c r="AR48" s="166"/>
      <c r="AS48" s="166"/>
      <c r="AT48" s="167"/>
      <c r="AU48" s="166"/>
      <c r="AV48" s="166"/>
      <c r="AW48" s="188"/>
      <c r="AX48" s="35"/>
      <c r="AY48" s="35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</row>
    <row r="49" spans="2:64" hidden="1" x14ac:dyDescent="0.2">
      <c r="B49" s="114"/>
      <c r="C49" s="61"/>
      <c r="D49" s="37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>
        <v>1</v>
      </c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38">
        <f>(E49*E$4+F49*F$4+G49*G$4+H49*$H$4+I49*I$4+J49*J$4+K49*K$4+L49*L$4+O49*O$4+Q49*Q$4+M49*$M$4+N49*$N$4+R49*$R$4+S49*$S$4+T49*$T$4+U49*$U$4+P49*$P$4+Z49*Z4)/1000</f>
        <v>0</v>
      </c>
      <c r="AN49" s="37">
        <f>AM49*D49</f>
        <v>0</v>
      </c>
      <c r="AO49" s="61">
        <v>4</v>
      </c>
      <c r="AP49" s="61">
        <v>4</v>
      </c>
      <c r="AQ49" s="61"/>
      <c r="AR49" s="61">
        <v>1</v>
      </c>
      <c r="AS49" s="36">
        <f>AN49*VLOOKUP(AO49&amp;"-"&amp;AR49&amp;"F",tabla,2,FALSE)</f>
        <v>0</v>
      </c>
      <c r="AT49" s="115">
        <f>AS49+AT47</f>
        <v>2.5014224003999996</v>
      </c>
      <c r="AU49" s="111">
        <v>1</v>
      </c>
      <c r="AV49" s="35">
        <v>1</v>
      </c>
      <c r="AW49" s="35"/>
      <c r="AX49" s="35"/>
      <c r="AY49" s="35"/>
      <c r="AZ49" s="61">
        <f>+AU49*D49</f>
        <v>0</v>
      </c>
      <c r="BA49" s="61">
        <f>+AV49*D49</f>
        <v>0</v>
      </c>
      <c r="BB49" s="61">
        <f>+AW49*D49</f>
        <v>0</v>
      </c>
      <c r="BC49" s="61">
        <f>+BB49+BB49</f>
        <v>0</v>
      </c>
      <c r="BD49" s="61"/>
      <c r="BE49" s="61"/>
      <c r="BF49" s="61"/>
      <c r="BG49" s="61"/>
      <c r="BH49" s="61"/>
      <c r="BI49" s="61"/>
      <c r="BJ49" s="61"/>
      <c r="BK49" s="61"/>
      <c r="BL49" s="61"/>
    </row>
    <row r="50" spans="2:64" hidden="1" x14ac:dyDescent="0.2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4"/>
      <c r="AO50" s="165"/>
      <c r="AP50" s="166"/>
      <c r="AQ50" s="166"/>
      <c r="AR50" s="166"/>
      <c r="AS50" s="166"/>
      <c r="AT50" s="167"/>
      <c r="AU50" s="107"/>
      <c r="AV50" s="107"/>
      <c r="AW50" s="96"/>
      <c r="AX50" s="35"/>
      <c r="AY50" s="35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</row>
    <row r="51" spans="2:64" hidden="1" x14ac:dyDescent="0.2">
      <c r="B51" s="114"/>
      <c r="C51" s="61"/>
      <c r="D51" s="37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>
        <v>1</v>
      </c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38">
        <f>(E51*E$4+F51*F$4+G51*G$4+H51*$H$4+I51*I$4+J51*J$4+K51*K$4+L51*L$4+O51*O$4+Q51*Q$4+M51*$M$4+N51*$N$4+R51*$R$4+S51*$S$4+T51*$T$4+U51*$U$4+P51*$P$4+AA51*AA4)/1000</f>
        <v>0</v>
      </c>
      <c r="AN51" s="37">
        <f>AM51*D51</f>
        <v>0</v>
      </c>
      <c r="AO51" s="61">
        <v>4</v>
      </c>
      <c r="AP51" s="61">
        <v>4</v>
      </c>
      <c r="AQ51" s="61"/>
      <c r="AR51" s="61">
        <v>1</v>
      </c>
      <c r="AS51" s="36">
        <f>AN51*VLOOKUP(AO51&amp;"-"&amp;AR51&amp;"F",tabla,2,FALSE)</f>
        <v>0</v>
      </c>
      <c r="AT51" s="115">
        <f>AS51+AT41</f>
        <v>2.5014224003999996</v>
      </c>
      <c r="AU51" s="111">
        <v>1</v>
      </c>
      <c r="AV51" s="35">
        <v>1</v>
      </c>
      <c r="AW51" s="35"/>
      <c r="AX51" s="35"/>
      <c r="AY51" s="35"/>
      <c r="AZ51" s="61">
        <f>+AU51*D51</f>
        <v>0</v>
      </c>
      <c r="BA51" s="61">
        <f>+AV51*D51</f>
        <v>0</v>
      </c>
      <c r="BB51" s="61">
        <f>+AW51*D51</f>
        <v>0</v>
      </c>
      <c r="BC51" s="61">
        <f>+BB51+BB51</f>
        <v>0</v>
      </c>
      <c r="BD51" s="61"/>
      <c r="BE51" s="61"/>
      <c r="BF51" s="61"/>
      <c r="BG51" s="61"/>
      <c r="BH51" s="61"/>
      <c r="BI51" s="61"/>
      <c r="BJ51" s="61"/>
      <c r="BK51" s="61"/>
      <c r="BL51" s="61"/>
    </row>
    <row r="52" spans="2:64" hidden="1" x14ac:dyDescent="0.2"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5"/>
      <c r="AP52" s="166"/>
      <c r="AQ52" s="166"/>
      <c r="AR52" s="166"/>
      <c r="AS52" s="166"/>
      <c r="AT52" s="167"/>
      <c r="AU52" s="174"/>
      <c r="AV52" s="174"/>
      <c r="AW52" s="174"/>
      <c r="AX52" s="35"/>
      <c r="AY52" s="35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2:64" hidden="1" x14ac:dyDescent="0.2">
      <c r="B53" s="114"/>
      <c r="C53" s="61"/>
      <c r="D53" s="37"/>
      <c r="E53" s="61"/>
      <c r="F53" s="61"/>
      <c r="G53" s="35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>
        <v>1</v>
      </c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38">
        <f>(E53*E$4+F53*F$4+G53*G$4+H53*$H$4+I53*I$4+J53*J$4+K53*K$4+L53*L$4+O53*O$4+Q53*Q$4+M53*$M$4+N53*$N$4+R53*$R$4+S53*$S$4+T53*$T$4+U53*$U$4+P53*$P$4+AB53*AB4)/1000</f>
        <v>0</v>
      </c>
      <c r="AN53" s="37">
        <f>AM53*D53</f>
        <v>0</v>
      </c>
      <c r="AO53" s="61">
        <v>4</v>
      </c>
      <c r="AP53" s="61">
        <v>4</v>
      </c>
      <c r="AQ53" s="61"/>
      <c r="AR53" s="61">
        <v>1</v>
      </c>
      <c r="AS53" s="36">
        <f>AN53*VLOOKUP(AO53&amp;"-"&amp;AR53&amp;"F",tabla,2,FALSE)</f>
        <v>0</v>
      </c>
      <c r="AT53" s="115">
        <f>AS53+AT51</f>
        <v>2.5014224003999996</v>
      </c>
      <c r="AU53" s="111">
        <v>1</v>
      </c>
      <c r="AV53" s="35">
        <v>1</v>
      </c>
      <c r="AW53" s="35"/>
      <c r="AX53" s="61"/>
      <c r="AY53" s="61"/>
      <c r="AZ53" s="61">
        <f>+AU53*D53</f>
        <v>0</v>
      </c>
      <c r="BA53" s="61">
        <f>+AV53*D53</f>
        <v>0</v>
      </c>
      <c r="BB53" s="61">
        <f>+AW53*D53</f>
        <v>0</v>
      </c>
      <c r="BC53" s="61">
        <f>+BB53+BB53</f>
        <v>0</v>
      </c>
      <c r="BD53" s="61"/>
      <c r="BE53" s="61"/>
      <c r="BF53" s="61"/>
      <c r="BG53" s="61"/>
      <c r="BH53" s="61"/>
      <c r="BI53" s="61"/>
      <c r="BJ53" s="61"/>
      <c r="BK53" s="61"/>
      <c r="BL53" s="61"/>
    </row>
    <row r="54" spans="2:64" hidden="1" x14ac:dyDescent="0.2"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4"/>
      <c r="AO54" s="165"/>
      <c r="AP54" s="166"/>
      <c r="AQ54" s="166"/>
      <c r="AR54" s="166"/>
      <c r="AS54" s="166"/>
      <c r="AT54" s="167"/>
      <c r="AU54" s="107"/>
      <c r="AV54" s="107"/>
      <c r="AW54" s="96"/>
      <c r="AX54" s="35"/>
      <c r="AY54" s="35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2:64" hidden="1" x14ac:dyDescent="0.2">
      <c r="B55" s="114">
        <v>24</v>
      </c>
      <c r="C55" s="61">
        <f>C53+1</f>
        <v>1</v>
      </c>
      <c r="D55" s="37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>
        <v>1</v>
      </c>
      <c r="AD55" s="61"/>
      <c r="AE55" s="61"/>
      <c r="AF55" s="61"/>
      <c r="AG55" s="61"/>
      <c r="AH55" s="61"/>
      <c r="AI55" s="61"/>
      <c r="AJ55" s="61"/>
      <c r="AK55" s="61"/>
      <c r="AL55" s="61"/>
      <c r="AM55" s="38">
        <f>(E55*E$4+F55*F$4+G55*G$4+H55*$H$4+I55*I$4+J55*J$4+K55*K$4+L55*L$4+O55*O$4+Q55*Q$4+M55*$M$4+N55*$N$4+R55*$R$4+S55*$S$4+T55*$T$4+U55*$U$4+P55*$P$4+AC55*AC4)/1000</f>
        <v>0</v>
      </c>
      <c r="AN55" s="37">
        <f>AM55*D55</f>
        <v>0</v>
      </c>
      <c r="AO55" s="61">
        <v>4</v>
      </c>
      <c r="AP55" s="61">
        <v>4</v>
      </c>
      <c r="AQ55" s="61"/>
      <c r="AR55" s="61">
        <v>1</v>
      </c>
      <c r="AS55" s="36">
        <f>AN55*VLOOKUP(AO55&amp;"-"&amp;AR55&amp;"F",tabla,2,FALSE)</f>
        <v>0</v>
      </c>
      <c r="AT55" s="115">
        <f>AS55+AT53</f>
        <v>2.5014224003999996</v>
      </c>
      <c r="AU55" s="111">
        <v>1</v>
      </c>
      <c r="AV55" s="35">
        <v>1</v>
      </c>
      <c r="AW55" s="35"/>
      <c r="AX55" s="35"/>
      <c r="AY55" s="35"/>
      <c r="AZ55" s="61">
        <f>+AU55*D55</f>
        <v>0</v>
      </c>
      <c r="BA55" s="61">
        <f>+AV55*D55</f>
        <v>0</v>
      </c>
      <c r="BB55" s="61">
        <f>+AW55*D55</f>
        <v>0</v>
      </c>
      <c r="BC55" s="61">
        <f>+BB55+BB55</f>
        <v>0</v>
      </c>
      <c r="BD55" s="61"/>
      <c r="BE55" s="61"/>
      <c r="BF55" s="61"/>
      <c r="BG55" s="61"/>
      <c r="BH55" s="61"/>
      <c r="BI55" s="61"/>
      <c r="BJ55" s="61"/>
      <c r="BK55" s="61"/>
      <c r="BL55" s="61"/>
    </row>
    <row r="56" spans="2:64" hidden="1" x14ac:dyDescent="0.2"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4"/>
      <c r="AO56" s="165"/>
      <c r="AP56" s="166"/>
      <c r="AQ56" s="166"/>
      <c r="AR56" s="166"/>
      <c r="AS56" s="166"/>
      <c r="AT56" s="167"/>
      <c r="AU56" s="107"/>
      <c r="AV56" s="107"/>
      <c r="AW56" s="96"/>
      <c r="AX56" s="35"/>
      <c r="AY56" s="35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2:64" hidden="1" x14ac:dyDescent="0.2">
      <c r="B57" s="114">
        <v>25</v>
      </c>
      <c r="C57" s="61">
        <f>C55+1</f>
        <v>2</v>
      </c>
      <c r="D57" s="37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>
        <v>1</v>
      </c>
      <c r="AE57" s="61"/>
      <c r="AF57" s="61"/>
      <c r="AG57" s="61"/>
      <c r="AH57" s="61"/>
      <c r="AI57" s="61"/>
      <c r="AJ57" s="61"/>
      <c r="AK57" s="61"/>
      <c r="AL57" s="61"/>
      <c r="AM57" s="38">
        <f>(E57*E$4+F57*F$4+G57*G$4+H57*$H$4+I57*I$4+J57*J$4+K57*K$4+L57*L$4+O57*O$4+Q57*Q$4+M57*$M$4+N57*$N$4+R57*$R$4+S57*$S$4+T57*$T$4+U57*$U$4+P57*$P$4+AD57*AD4)/1000</f>
        <v>0</v>
      </c>
      <c r="AN57" s="37">
        <f>AM57*D57</f>
        <v>0</v>
      </c>
      <c r="AO57" s="61">
        <v>4</v>
      </c>
      <c r="AP57" s="61">
        <v>4</v>
      </c>
      <c r="AQ57" s="61"/>
      <c r="AR57" s="61">
        <v>1</v>
      </c>
      <c r="AS57" s="36">
        <f>AN57*VLOOKUP(AO57&amp;"-"&amp;AR57&amp;"F",tabla,2,FALSE)</f>
        <v>0</v>
      </c>
      <c r="AT57" s="115">
        <f>AS57+AT55</f>
        <v>2.5014224003999996</v>
      </c>
      <c r="AU57" s="111">
        <v>1</v>
      </c>
      <c r="AV57" s="35">
        <v>1</v>
      </c>
      <c r="AW57" s="35"/>
      <c r="AX57" s="35"/>
      <c r="AY57" s="35"/>
      <c r="AZ57" s="61">
        <f>+AU57*D57</f>
        <v>0</v>
      </c>
      <c r="BA57" s="61">
        <f>+AV57*D57</f>
        <v>0</v>
      </c>
      <c r="BB57" s="61">
        <f>+AW57*D57</f>
        <v>0</v>
      </c>
      <c r="BC57" s="61">
        <f>+BB57+BB57</f>
        <v>0</v>
      </c>
      <c r="BD57" s="61"/>
      <c r="BE57" s="61"/>
      <c r="BF57" s="61"/>
      <c r="BG57" s="61"/>
      <c r="BH57" s="61"/>
      <c r="BI57" s="61"/>
      <c r="BJ57" s="61"/>
      <c r="BK57" s="61"/>
      <c r="BL57" s="61"/>
    </row>
    <row r="58" spans="2:64" hidden="1" x14ac:dyDescent="0.2">
      <c r="B58" s="117"/>
      <c r="C58" s="3"/>
      <c r="D58" s="10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104"/>
      <c r="AN58" s="103"/>
      <c r="AO58" s="3"/>
      <c r="AP58" s="3"/>
      <c r="AQ58" s="3"/>
      <c r="AR58" s="3"/>
      <c r="AS58" s="105"/>
      <c r="AT58" s="118"/>
      <c r="AU58" s="106"/>
      <c r="AV58" s="106"/>
      <c r="AW58" s="106"/>
      <c r="AX58" s="106"/>
      <c r="AY58" s="106"/>
      <c r="AZ58" s="3"/>
      <c r="BA58" s="3"/>
      <c r="BB58" s="3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2:64" hidden="1" x14ac:dyDescent="0.2">
      <c r="B59" s="114">
        <v>26</v>
      </c>
      <c r="C59" s="61">
        <f>C57+1</f>
        <v>3</v>
      </c>
      <c r="D59" s="37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>
        <v>1</v>
      </c>
      <c r="AF59" s="61"/>
      <c r="AG59" s="61"/>
      <c r="AH59" s="61"/>
      <c r="AI59" s="61"/>
      <c r="AJ59" s="61"/>
      <c r="AK59" s="61"/>
      <c r="AL59" s="61"/>
      <c r="AM59" s="38">
        <f>(E59*E$4+F59*F$4+G59*G$4+H59*$H$4+I59*I$4+J59*J$4+K59*K$4+L59*L$4+O59*O$4+Q59*Q$4+M59*$M$4+N59*$N$4+R59*$R$4+S59*$S$4+T59*$T$4+U59*$U$4+P59*$P$4+AE59*AE4)/1000</f>
        <v>0</v>
      </c>
      <c r="AN59" s="37">
        <f>AM59*D59</f>
        <v>0</v>
      </c>
      <c r="AO59" s="61">
        <v>4</v>
      </c>
      <c r="AP59" s="61">
        <v>4</v>
      </c>
      <c r="AQ59" s="61"/>
      <c r="AR59" s="61">
        <v>1</v>
      </c>
      <c r="AS59" s="36">
        <f>AN59*VLOOKUP(AO59&amp;"-"&amp;AR59&amp;"F",tabla,2,FALSE)</f>
        <v>0</v>
      </c>
      <c r="AT59" s="115">
        <f>AS59+AT57</f>
        <v>2.5014224003999996</v>
      </c>
      <c r="AU59" s="111">
        <v>1</v>
      </c>
      <c r="AV59" s="35">
        <v>1</v>
      </c>
      <c r="AW59" s="35"/>
      <c r="AX59" s="35"/>
      <c r="AY59" s="35"/>
      <c r="AZ59" s="61">
        <f>+AU59*D59</f>
        <v>0</v>
      </c>
      <c r="BA59" s="61">
        <f>+AV59*D59</f>
        <v>0</v>
      </c>
      <c r="BB59" s="61">
        <f>+AW59*D59</f>
        <v>0</v>
      </c>
      <c r="BC59" s="61">
        <f>+BB59+BB59</f>
        <v>0</v>
      </c>
      <c r="BD59" s="61"/>
      <c r="BE59" s="61"/>
      <c r="BF59" s="61"/>
      <c r="BG59" s="61"/>
      <c r="BH59" s="61"/>
      <c r="BI59" s="61"/>
      <c r="BJ59" s="61"/>
      <c r="BK59" s="61"/>
      <c r="BL59" s="61"/>
    </row>
    <row r="60" spans="2:64" hidden="1" x14ac:dyDescent="0.2"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5"/>
      <c r="AP60" s="166"/>
      <c r="AQ60" s="166"/>
      <c r="AR60" s="166"/>
      <c r="AS60" s="166"/>
      <c r="AT60" s="167"/>
      <c r="AU60" s="174"/>
      <c r="AV60" s="174"/>
      <c r="AW60" s="174"/>
      <c r="AX60" s="35"/>
      <c r="AY60" s="35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2:64" hidden="1" x14ac:dyDescent="0.2">
      <c r="B61" s="114">
        <v>27</v>
      </c>
      <c r="C61" s="61">
        <v>28</v>
      </c>
      <c r="D61" s="37"/>
      <c r="E61" s="61"/>
      <c r="F61" s="61"/>
      <c r="G61" s="35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>
        <v>1</v>
      </c>
      <c r="AG61" s="61"/>
      <c r="AH61" s="61"/>
      <c r="AI61" s="61"/>
      <c r="AJ61" s="61"/>
      <c r="AK61" s="61"/>
      <c r="AL61" s="61"/>
      <c r="AM61" s="38">
        <f>(E61*E$4+F61*F$4+G61*G$4+H61*$H$4+I61*I$4+J61*J$4+K61*K$4+L61*L$4+O61*O$4+Q61*Q$4+M61*$M$4+N61*$N$4+R61*$R$4+S61*$S$4+T61*$T$4+U61*$U$4+P61*$P$4+AF61*AF4)/1000</f>
        <v>0</v>
      </c>
      <c r="AN61" s="37">
        <f>AM61*D61</f>
        <v>0</v>
      </c>
      <c r="AO61" s="61">
        <v>4</v>
      </c>
      <c r="AP61" s="61">
        <v>4</v>
      </c>
      <c r="AQ61" s="61"/>
      <c r="AR61" s="61">
        <v>1</v>
      </c>
      <c r="AS61" s="36">
        <f>AN61*VLOOKUP(AO61&amp;"-"&amp;AR61&amp;"F",tabla,2,FALSE)</f>
        <v>0</v>
      </c>
      <c r="AT61" s="115">
        <f>AS61+AT59</f>
        <v>2.5014224003999996</v>
      </c>
      <c r="AU61" s="111">
        <v>1</v>
      </c>
      <c r="AV61" s="35">
        <v>1</v>
      </c>
      <c r="AW61" s="35"/>
      <c r="AX61" s="61"/>
      <c r="AY61" s="61"/>
      <c r="AZ61" s="61">
        <f>+AU61*D61</f>
        <v>0</v>
      </c>
      <c r="BA61" s="61">
        <f>+AV61*D61</f>
        <v>0</v>
      </c>
      <c r="BB61" s="61">
        <f>+AW61*D61</f>
        <v>0</v>
      </c>
      <c r="BC61" s="61">
        <f>+BB61+BB61</f>
        <v>0</v>
      </c>
      <c r="BD61" s="61"/>
      <c r="BE61" s="61"/>
      <c r="BF61" s="61"/>
      <c r="BG61" s="61"/>
      <c r="BH61" s="61"/>
      <c r="BI61" s="61"/>
      <c r="BJ61" s="61"/>
      <c r="BK61" s="61"/>
      <c r="BL61" s="61"/>
    </row>
    <row r="62" spans="2:64" hidden="1" x14ac:dyDescent="0.2"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4"/>
      <c r="AO62" s="165"/>
      <c r="AP62" s="166"/>
      <c r="AQ62" s="166"/>
      <c r="AR62" s="166"/>
      <c r="AS62" s="166"/>
      <c r="AT62" s="167"/>
      <c r="AU62" s="107"/>
      <c r="AV62" s="107"/>
      <c r="AW62" s="96"/>
      <c r="AX62" s="35"/>
      <c r="AY62" s="35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2:64" hidden="1" x14ac:dyDescent="0.2">
      <c r="B63" s="114">
        <v>28</v>
      </c>
      <c r="C63" s="61">
        <v>29</v>
      </c>
      <c r="D63" s="37"/>
      <c r="E63" s="61"/>
      <c r="F63" s="61"/>
      <c r="G63" s="35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>
        <v>1</v>
      </c>
      <c r="AH63" s="61"/>
      <c r="AI63" s="61"/>
      <c r="AJ63" s="61"/>
      <c r="AK63" s="61"/>
      <c r="AL63" s="61"/>
      <c r="AM63" s="38">
        <f>(E63*E$4+F63*F$4+G63*G$4+H63*$H$4+I63*I$4+J63*J$4+K63*K$4+L63*L$4+O63*O$4+Q63*Q$4+M63*$M$4+N63*$N$4+R63*$R$4+S63*$S$4+T63*$T$4+U63*$U$4+P63*$P$4+AF63*AF6+AG63*AG4)/1000</f>
        <v>0</v>
      </c>
      <c r="AN63" s="37">
        <f>AM63*D63</f>
        <v>0</v>
      </c>
      <c r="AO63" s="61">
        <v>4</v>
      </c>
      <c r="AP63" s="61">
        <v>4</v>
      </c>
      <c r="AQ63" s="61"/>
      <c r="AR63" s="61">
        <v>1</v>
      </c>
      <c r="AS63" s="36">
        <f>AN63*VLOOKUP(AO63&amp;"-"&amp;AR63&amp;"F",tabla,2,FALSE)</f>
        <v>0</v>
      </c>
      <c r="AT63" s="115">
        <f>AS63+AT59</f>
        <v>2.5014224003999996</v>
      </c>
      <c r="AU63" s="111">
        <v>1</v>
      </c>
      <c r="AV63" s="35">
        <v>1</v>
      </c>
      <c r="AW63" s="35"/>
      <c r="AX63" s="61"/>
      <c r="AY63" s="61"/>
      <c r="AZ63" s="61">
        <f>+AU63*D63</f>
        <v>0</v>
      </c>
      <c r="BA63" s="61">
        <f>+AV63*D63</f>
        <v>0</v>
      </c>
      <c r="BB63" s="61">
        <f>+AW63*D63</f>
        <v>0</v>
      </c>
      <c r="BC63" s="61">
        <f>+BB63+BB63</f>
        <v>0</v>
      </c>
      <c r="BD63" s="61"/>
      <c r="BE63" s="61"/>
      <c r="BF63" s="61"/>
      <c r="BG63" s="61"/>
      <c r="BH63" s="61"/>
      <c r="BI63" s="61"/>
      <c r="BJ63" s="61"/>
      <c r="BK63" s="61"/>
      <c r="BL63" s="61"/>
    </row>
    <row r="64" spans="2:64" hidden="1" x14ac:dyDescent="0.2"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4"/>
      <c r="AO64" s="165"/>
      <c r="AP64" s="166"/>
      <c r="AQ64" s="166"/>
      <c r="AR64" s="166"/>
      <c r="AS64" s="166"/>
      <c r="AT64" s="167"/>
      <c r="AU64" s="107"/>
      <c r="AV64" s="107"/>
      <c r="AW64" s="96"/>
      <c r="AX64" s="35"/>
      <c r="AY64" s="35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</row>
    <row r="65" spans="2:64" hidden="1" x14ac:dyDescent="0.2">
      <c r="B65" s="114">
        <v>29</v>
      </c>
      <c r="C65" s="61">
        <v>30</v>
      </c>
      <c r="D65" s="37"/>
      <c r="E65" s="61"/>
      <c r="F65" s="61"/>
      <c r="G65" s="35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>
        <v>1</v>
      </c>
      <c r="AI65" s="61"/>
      <c r="AJ65" s="61"/>
      <c r="AK65" s="61"/>
      <c r="AL65" s="61"/>
      <c r="AM65" s="38">
        <f>(E65*E$4+F65*F$4+G65*G$4+H65*$H$4+I65*I$4+J65*J$4+K65*K$4+L65*L$4+O65*O$4+Q65*Q$4+M65*$M$4+N65*$N$4+R65*$R$4+S65*$S$4+T65*$T$4+U65*$U$4+P65*$P$4+AF65*AF8+AH65*AH4)/1000</f>
        <v>0</v>
      </c>
      <c r="AN65" s="37">
        <f>AM65*D65</f>
        <v>0</v>
      </c>
      <c r="AO65" s="61">
        <v>4</v>
      </c>
      <c r="AP65" s="61">
        <v>4</v>
      </c>
      <c r="AQ65" s="61"/>
      <c r="AR65" s="61">
        <v>1</v>
      </c>
      <c r="AS65" s="36">
        <f>AN65*VLOOKUP(AO65&amp;"-"&amp;AR65&amp;"F",tabla,2,FALSE)</f>
        <v>0</v>
      </c>
      <c r="AT65" s="115">
        <f>AS65+AT63</f>
        <v>2.5014224003999996</v>
      </c>
      <c r="AU65" s="111">
        <v>1</v>
      </c>
      <c r="AV65" s="35">
        <v>1</v>
      </c>
      <c r="AW65" s="35"/>
      <c r="AX65" s="61"/>
      <c r="AY65" s="61"/>
      <c r="AZ65" s="61">
        <f>+AU65*D65</f>
        <v>0</v>
      </c>
      <c r="BA65" s="61">
        <f>+AV65*D65</f>
        <v>0</v>
      </c>
      <c r="BB65" s="61">
        <f>+AW65*D65</f>
        <v>0</v>
      </c>
      <c r="BC65" s="61">
        <f>+BB65+BB65</f>
        <v>0</v>
      </c>
      <c r="BD65" s="61"/>
      <c r="BE65" s="61"/>
      <c r="BF65" s="61"/>
      <c r="BG65" s="61"/>
      <c r="BH65" s="61"/>
      <c r="BI65" s="61"/>
      <c r="BJ65" s="61"/>
      <c r="BK65" s="61"/>
      <c r="BL65" s="61"/>
    </row>
    <row r="66" spans="2:64" hidden="1" x14ac:dyDescent="0.2"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4"/>
      <c r="AO66" s="165"/>
      <c r="AP66" s="166"/>
      <c r="AQ66" s="166"/>
      <c r="AR66" s="166"/>
      <c r="AS66" s="166"/>
      <c r="AT66" s="167"/>
      <c r="AU66" s="107"/>
      <c r="AV66" s="107"/>
      <c r="AW66" s="96"/>
      <c r="AX66" s="35"/>
      <c r="AY66" s="35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</row>
    <row r="67" spans="2:64" hidden="1" x14ac:dyDescent="0.2">
      <c r="B67" s="114">
        <v>30</v>
      </c>
      <c r="C67" s="61">
        <v>31</v>
      </c>
      <c r="D67" s="37"/>
      <c r="E67" s="61"/>
      <c r="F67" s="61"/>
      <c r="G67" s="35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>
        <v>1</v>
      </c>
      <c r="AJ67" s="61"/>
      <c r="AK67" s="61"/>
      <c r="AL67" s="61"/>
      <c r="AM67" s="38">
        <f>(E67*E$4+F67*F$4+G67*G$4+H67*$H$4+I67*I$4+J67*J$4+K67*K$4+L67*L$4+O67*O$4+Q67*Q$4+M67*$M$4+N67*$N$4+R67*$R$4+S67*$S$4+T67*$T$4+U67*$U$4+P67*$P$4+AF67*AF10+AI67*AI4)/1000</f>
        <v>0</v>
      </c>
      <c r="AN67" s="37">
        <f>AM67*D67</f>
        <v>0</v>
      </c>
      <c r="AO67" s="61">
        <v>4</v>
      </c>
      <c r="AP67" s="61">
        <v>4</v>
      </c>
      <c r="AQ67" s="61"/>
      <c r="AR67" s="61">
        <v>1</v>
      </c>
      <c r="AS67" s="36">
        <f>AN67*VLOOKUP(AO67&amp;"-"&amp;AR67&amp;"F",tabla,2,FALSE)</f>
        <v>0</v>
      </c>
      <c r="AT67" s="115">
        <f>AS67+AT65</f>
        <v>2.5014224003999996</v>
      </c>
      <c r="AU67" s="111">
        <v>1</v>
      </c>
      <c r="AV67" s="35">
        <v>1</v>
      </c>
      <c r="AW67" s="35"/>
      <c r="AX67" s="61"/>
      <c r="AY67" s="61"/>
      <c r="AZ67" s="61">
        <f>+AU67*D67</f>
        <v>0</v>
      </c>
      <c r="BA67" s="61">
        <f>+AV67*D67</f>
        <v>0</v>
      </c>
      <c r="BB67" s="61">
        <f>+AW67*D67</f>
        <v>0</v>
      </c>
      <c r="BC67" s="61">
        <f>+BB67+BB67</f>
        <v>0</v>
      </c>
      <c r="BD67" s="61"/>
      <c r="BE67" s="61"/>
      <c r="BF67" s="61"/>
      <c r="BG67" s="61"/>
      <c r="BH67" s="61"/>
      <c r="BI67" s="61"/>
      <c r="BJ67" s="61"/>
      <c r="BK67" s="61"/>
      <c r="BL67" s="61"/>
    </row>
    <row r="68" spans="2:64" hidden="1" x14ac:dyDescent="0.2"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4"/>
      <c r="AO68" s="165"/>
      <c r="AP68" s="166"/>
      <c r="AQ68" s="166"/>
      <c r="AR68" s="166"/>
      <c r="AS68" s="166"/>
      <c r="AT68" s="167"/>
      <c r="AU68" s="107"/>
      <c r="AV68" s="107"/>
      <c r="AW68" s="96"/>
      <c r="AX68" s="35"/>
      <c r="AY68" s="35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</row>
    <row r="69" spans="2:64" hidden="1" x14ac:dyDescent="0.2">
      <c r="B69" s="114">
        <v>31</v>
      </c>
      <c r="C69" s="61">
        <v>32</v>
      </c>
      <c r="D69" s="37"/>
      <c r="E69" s="61"/>
      <c r="F69" s="61"/>
      <c r="G69" s="35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>
        <v>1</v>
      </c>
      <c r="AK69" s="61"/>
      <c r="AL69" s="61"/>
      <c r="AM69" s="38">
        <f>(E69*E$4+F69*F$4+G69*G$4+H69*$H$4+I69*I$4+J69*J$4+K69*K$4+L69*L$4+O69*O$4+Q69*Q$4+M69*$M$4+N69*$N$4+R69*$R$4+S69*$S$4+T69*$T$4+U69*$U$4+P69*$P$4+AF69*AF12+AJ69*AJ4)/1000</f>
        <v>0</v>
      </c>
      <c r="AN69" s="37">
        <f>AM69*D69</f>
        <v>0</v>
      </c>
      <c r="AO69" s="61">
        <v>4</v>
      </c>
      <c r="AP69" s="61">
        <v>4</v>
      </c>
      <c r="AQ69" s="61"/>
      <c r="AR69" s="61">
        <v>1</v>
      </c>
      <c r="AS69" s="36">
        <f>AN69*VLOOKUP(AO69&amp;"-"&amp;AR69&amp;"F",tabla,2,FALSE)</f>
        <v>0</v>
      </c>
      <c r="AT69" s="115">
        <f>AS69+AT67</f>
        <v>2.5014224003999996</v>
      </c>
      <c r="AU69" s="111">
        <v>1</v>
      </c>
      <c r="AV69" s="35">
        <v>1</v>
      </c>
      <c r="AW69" s="35"/>
      <c r="AX69" s="61"/>
      <c r="AY69" s="61"/>
      <c r="AZ69" s="61">
        <f>+AU69*D69</f>
        <v>0</v>
      </c>
      <c r="BA69" s="61">
        <f>+AV69*D69</f>
        <v>0</v>
      </c>
      <c r="BB69" s="61">
        <f>+AW69*D69</f>
        <v>0</v>
      </c>
      <c r="BC69" s="61">
        <f>+BB69+BB69</f>
        <v>0</v>
      </c>
      <c r="BD69" s="61"/>
      <c r="BE69" s="61"/>
      <c r="BF69" s="61"/>
      <c r="BG69" s="61"/>
      <c r="BH69" s="61"/>
      <c r="BI69" s="61"/>
      <c r="BJ69" s="61"/>
      <c r="BK69" s="61"/>
      <c r="BL69" s="61"/>
    </row>
    <row r="70" spans="2:64" hidden="1" x14ac:dyDescent="0.2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4"/>
      <c r="AO70" s="165"/>
      <c r="AP70" s="166"/>
      <c r="AQ70" s="166"/>
      <c r="AR70" s="166"/>
      <c r="AS70" s="166"/>
      <c r="AT70" s="167"/>
      <c r="AU70" s="107"/>
      <c r="AV70" s="107"/>
      <c r="AW70" s="96"/>
      <c r="AX70" s="35"/>
      <c r="AY70" s="35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</row>
    <row r="71" spans="2:64" hidden="1" x14ac:dyDescent="0.2">
      <c r="B71" s="114">
        <v>24</v>
      </c>
      <c r="C71" s="61">
        <v>33</v>
      </c>
      <c r="D71" s="37"/>
      <c r="E71" s="61"/>
      <c r="F71" s="61"/>
      <c r="G71" s="35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>
        <v>1</v>
      </c>
      <c r="AL71" s="61"/>
      <c r="AM71" s="38">
        <f>(E71*E$4+F71*F$4+G71*G$4+H71*$H$4+I71*I$4+J71*J$4+K71*K$4+L71*L$4+O71*O$4+Q71*Q$4+M71*$M$4+N71*$N$4+R71*$R$4+S71*$S$4+T71*$T$4+U71*$U$4+P71*$P$4+AF71*AF14+AK71*AK4)/1000</f>
        <v>0</v>
      </c>
      <c r="AN71" s="37">
        <f>AM71*D71</f>
        <v>0</v>
      </c>
      <c r="AO71" s="61">
        <v>4</v>
      </c>
      <c r="AP71" s="61">
        <v>4</v>
      </c>
      <c r="AQ71" s="61"/>
      <c r="AR71" s="61">
        <v>1</v>
      </c>
      <c r="AS71" s="36">
        <f>AN71*VLOOKUP(AO71&amp;"-"&amp;AR71&amp;"F",tabla,2,FALSE)</f>
        <v>0</v>
      </c>
      <c r="AT71" s="115">
        <f>AS71+AT53</f>
        <v>2.5014224003999996</v>
      </c>
      <c r="AU71" s="111">
        <v>1</v>
      </c>
      <c r="AV71" s="35">
        <v>1</v>
      </c>
      <c r="AW71" s="35"/>
      <c r="AX71" s="61"/>
      <c r="AY71" s="61"/>
      <c r="AZ71" s="61">
        <f>+AU71*D71</f>
        <v>0</v>
      </c>
      <c r="BA71" s="61">
        <f>+AV71*D71</f>
        <v>0</v>
      </c>
      <c r="BB71" s="61">
        <f>+AW71*D71</f>
        <v>0</v>
      </c>
      <c r="BC71" s="61">
        <f>+BB71+BB71</f>
        <v>0</v>
      </c>
      <c r="BD71" s="61"/>
      <c r="BE71" s="61"/>
      <c r="BF71" s="61"/>
      <c r="BG71" s="61"/>
      <c r="BH71" s="61"/>
      <c r="BI71" s="61"/>
      <c r="BJ71" s="61"/>
      <c r="BK71" s="61"/>
      <c r="BL71" s="61"/>
    </row>
    <row r="72" spans="2:64" hidden="1" x14ac:dyDescent="0.2"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4"/>
      <c r="AO72" s="165"/>
      <c r="AP72" s="166"/>
      <c r="AQ72" s="166"/>
      <c r="AR72" s="166"/>
      <c r="AS72" s="166"/>
      <c r="AT72" s="167"/>
      <c r="AU72" s="107"/>
      <c r="AV72" s="107"/>
      <c r="AW72" s="96"/>
      <c r="AX72" s="35"/>
      <c r="AY72" s="35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</row>
    <row r="73" spans="2:64" hidden="1" x14ac:dyDescent="0.2">
      <c r="B73" s="114">
        <v>33</v>
      </c>
      <c r="C73" s="61">
        <v>34</v>
      </c>
      <c r="D73" s="37"/>
      <c r="E73" s="61"/>
      <c r="F73" s="61"/>
      <c r="G73" s="35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>
        <v>1</v>
      </c>
      <c r="AM73" s="38">
        <f>(E73*E$4+F73*F$4+G73*G$4+H73*$H$4+I73*I$4+J73*J$4+K73*K$4+L73*L$4+O73*O$4+Q73*Q$4+M73*$M$4+N73*$N$4+R73*$R$4+S73*$S$4+T73*$T$4+U73*$U$4+P73*$P$4+AF73*AF16+AL73*AL4)/1000</f>
        <v>0</v>
      </c>
      <c r="AN73" s="37">
        <f>AM73*D73</f>
        <v>0</v>
      </c>
      <c r="AO73" s="61">
        <v>4</v>
      </c>
      <c r="AP73" s="61">
        <v>4</v>
      </c>
      <c r="AQ73" s="61"/>
      <c r="AR73" s="61">
        <v>3</v>
      </c>
      <c r="AS73" s="36">
        <f>AN73*VLOOKUP(AO73&amp;"-"&amp;AR73&amp;"F",tabla,2,FALSE)</f>
        <v>0</v>
      </c>
      <c r="AT73" s="115">
        <f>AS73+AT71</f>
        <v>2.5014224003999996</v>
      </c>
      <c r="AU73" s="111">
        <v>1</v>
      </c>
      <c r="AV73" s="35">
        <v>1</v>
      </c>
      <c r="AW73" s="35"/>
      <c r="AX73" s="61"/>
      <c r="AY73" s="61"/>
      <c r="AZ73" s="61">
        <f>+AU73*D73</f>
        <v>0</v>
      </c>
      <c r="BA73" s="61">
        <f>+AV73*D73</f>
        <v>0</v>
      </c>
      <c r="BB73" s="61">
        <f>+AW73*D73</f>
        <v>0</v>
      </c>
      <c r="BC73" s="61">
        <f>+BB73+BB73</f>
        <v>0</v>
      </c>
      <c r="BD73" s="61"/>
      <c r="BE73" s="61"/>
      <c r="BF73" s="61"/>
      <c r="BG73" s="61"/>
      <c r="BH73" s="61"/>
      <c r="BI73" s="61"/>
      <c r="BJ73" s="61"/>
      <c r="BK73" s="61"/>
      <c r="BL73" s="61"/>
    </row>
    <row r="74" spans="2:64" ht="12" thickBot="1" x14ac:dyDescent="0.25">
      <c r="B74" s="168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70"/>
      <c r="AO74" s="171"/>
      <c r="AP74" s="172"/>
      <c r="AQ74" s="172"/>
      <c r="AR74" s="172"/>
      <c r="AS74" s="172"/>
      <c r="AT74" s="173"/>
      <c r="AU74" s="107"/>
      <c r="AV74" s="107"/>
      <c r="AW74" s="96"/>
      <c r="AX74" s="35"/>
      <c r="AY74" s="35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</row>
    <row r="75" spans="2:64" x14ac:dyDescent="0.2">
      <c r="BB75" s="97" t="s">
        <v>75</v>
      </c>
      <c r="BC75" s="98">
        <f t="shared" ref="BC75:BL75" si="1">SUM(BC7:BC17)</f>
        <v>0</v>
      </c>
      <c r="BD75" s="98">
        <f t="shared" si="1"/>
        <v>0</v>
      </c>
      <c r="BE75" s="98">
        <f t="shared" si="1"/>
        <v>0</v>
      </c>
      <c r="BF75" s="98">
        <f t="shared" si="1"/>
        <v>0</v>
      </c>
      <c r="BG75" s="98">
        <f t="shared" si="1"/>
        <v>0</v>
      </c>
      <c r="BH75" s="98">
        <f t="shared" si="1"/>
        <v>0</v>
      </c>
      <c r="BI75" s="98">
        <f t="shared" si="1"/>
        <v>0</v>
      </c>
      <c r="BJ75" s="98">
        <f t="shared" si="1"/>
        <v>0</v>
      </c>
      <c r="BK75" s="98">
        <f t="shared" si="1"/>
        <v>0</v>
      </c>
      <c r="BL75" s="98">
        <f t="shared" si="1"/>
        <v>0</v>
      </c>
    </row>
    <row r="76" spans="2:64" x14ac:dyDescent="0.2">
      <c r="BB76" s="97" t="s">
        <v>83</v>
      </c>
      <c r="BC76" s="98">
        <f>+BC75*1.1</f>
        <v>0</v>
      </c>
      <c r="BD76" s="98">
        <f t="shared" ref="BD76:BL76" si="2">+BD75*1.1</f>
        <v>0</v>
      </c>
      <c r="BE76" s="98">
        <f t="shared" si="2"/>
        <v>0</v>
      </c>
      <c r="BF76" s="98">
        <f t="shared" si="2"/>
        <v>0</v>
      </c>
      <c r="BG76" s="98">
        <f t="shared" si="2"/>
        <v>0</v>
      </c>
      <c r="BH76" s="98">
        <f t="shared" si="2"/>
        <v>0</v>
      </c>
      <c r="BI76" s="98">
        <f t="shared" si="2"/>
        <v>0</v>
      </c>
      <c r="BJ76" s="98">
        <f t="shared" si="2"/>
        <v>0</v>
      </c>
      <c r="BK76" s="98">
        <f t="shared" si="2"/>
        <v>0</v>
      </c>
      <c r="BL76" s="98">
        <f t="shared" si="2"/>
        <v>0</v>
      </c>
    </row>
  </sheetData>
  <mergeCells count="86">
    <mergeCell ref="B5:AT5"/>
    <mergeCell ref="B6:AN6"/>
    <mergeCell ref="B8:AN8"/>
    <mergeCell ref="B2:AT2"/>
    <mergeCell ref="AU2:BL2"/>
    <mergeCell ref="B3:B4"/>
    <mergeCell ref="C3:C4"/>
    <mergeCell ref="AR3:AR4"/>
    <mergeCell ref="AS3:AT3"/>
    <mergeCell ref="AU3:AW3"/>
    <mergeCell ref="AX3:AX4"/>
    <mergeCell ref="AY3:AY4"/>
    <mergeCell ref="AZ3:BB3"/>
    <mergeCell ref="AO8:AT8"/>
    <mergeCell ref="AU8:AW8"/>
    <mergeCell ref="B10:AN10"/>
    <mergeCell ref="AO10:AT10"/>
    <mergeCell ref="B20:AN20"/>
    <mergeCell ref="AO20:AT20"/>
    <mergeCell ref="AU20:AW20"/>
    <mergeCell ref="B16:AN16"/>
    <mergeCell ref="AO16:AT16"/>
    <mergeCell ref="B12:AN12"/>
    <mergeCell ref="AO12:AT12"/>
    <mergeCell ref="AU14:AW14"/>
    <mergeCell ref="B18:AN18"/>
    <mergeCell ref="B14:AN14"/>
    <mergeCell ref="AO14:AT14"/>
    <mergeCell ref="B22:AN22"/>
    <mergeCell ref="AO22:AT22"/>
    <mergeCell ref="AU32:AW32"/>
    <mergeCell ref="B34:AN34"/>
    <mergeCell ref="AO34:AT34"/>
    <mergeCell ref="B24:AN24"/>
    <mergeCell ref="AO24:AT24"/>
    <mergeCell ref="B26:AN26"/>
    <mergeCell ref="AO26:AT26"/>
    <mergeCell ref="AU26:AW26"/>
    <mergeCell ref="B28:AN28"/>
    <mergeCell ref="AO28:AT28"/>
    <mergeCell ref="B40:AN40"/>
    <mergeCell ref="AO40:AT40"/>
    <mergeCell ref="B30:AN30"/>
    <mergeCell ref="B32:AN32"/>
    <mergeCell ref="AO32:AT32"/>
    <mergeCell ref="B36:AN36"/>
    <mergeCell ref="AO36:AT36"/>
    <mergeCell ref="B38:AN38"/>
    <mergeCell ref="AO38:AT38"/>
    <mergeCell ref="AU38:AW38"/>
    <mergeCell ref="B52:AN52"/>
    <mergeCell ref="AO52:AT52"/>
    <mergeCell ref="AU52:AW52"/>
    <mergeCell ref="B42:AN42"/>
    <mergeCell ref="AO42:AT42"/>
    <mergeCell ref="AU42:AW42"/>
    <mergeCell ref="B44:AN44"/>
    <mergeCell ref="AO44:AT44"/>
    <mergeCell ref="B46:AN46"/>
    <mergeCell ref="AO46:AT46"/>
    <mergeCell ref="B48:AN48"/>
    <mergeCell ref="AO48:AT48"/>
    <mergeCell ref="AU48:AW48"/>
    <mergeCell ref="B50:AN50"/>
    <mergeCell ref="AO50:AT50"/>
    <mergeCell ref="B66:AN66"/>
    <mergeCell ref="AO66:AT66"/>
    <mergeCell ref="B54:AN54"/>
    <mergeCell ref="AO54:AT54"/>
    <mergeCell ref="B56:AN56"/>
    <mergeCell ref="AO56:AT56"/>
    <mergeCell ref="B60:AN60"/>
    <mergeCell ref="AO60:AT60"/>
    <mergeCell ref="AU60:AW60"/>
    <mergeCell ref="B62:AN62"/>
    <mergeCell ref="AO62:AT62"/>
    <mergeCell ref="B64:AN64"/>
    <mergeCell ref="AO64:AT64"/>
    <mergeCell ref="B74:AN74"/>
    <mergeCell ref="AO74:AT74"/>
    <mergeCell ref="B68:AN68"/>
    <mergeCell ref="AO68:AT68"/>
    <mergeCell ref="B70:AN70"/>
    <mergeCell ref="AO70:AT70"/>
    <mergeCell ref="B72:AN72"/>
    <mergeCell ref="AO72:AT72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L7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J88" sqref="J88"/>
    </sheetView>
  </sheetViews>
  <sheetFormatPr baseColWidth="10" defaultRowHeight="11.25" x14ac:dyDescent="0.2"/>
  <cols>
    <col min="1" max="1" width="11.42578125" style="94"/>
    <col min="2" max="2" width="2.85546875" style="94" bestFit="1" customWidth="1"/>
    <col min="3" max="3" width="7.28515625" style="94" customWidth="1"/>
    <col min="4" max="20" width="8.42578125" style="94" customWidth="1"/>
    <col min="21" max="38" width="8.42578125" style="94" hidden="1" customWidth="1"/>
    <col min="39" max="39" width="6.5703125" style="94" bestFit="1" customWidth="1"/>
    <col min="40" max="40" width="9" style="94" bestFit="1" customWidth="1"/>
    <col min="41" max="43" width="8" style="94" customWidth="1"/>
    <col min="44" max="44" width="5.85546875" style="94" bestFit="1" customWidth="1"/>
    <col min="45" max="45" width="8.28515625" style="94" bestFit="1" customWidth="1"/>
    <col min="46" max="46" width="9.7109375" style="94" bestFit="1" customWidth="1"/>
    <col min="47" max="49" width="8.140625" style="94" customWidth="1"/>
    <col min="50" max="50" width="9.5703125" style="94" customWidth="1"/>
    <col min="51" max="54" width="8.140625" style="94" customWidth="1"/>
    <col min="55" max="56" width="6.42578125" style="94" bestFit="1" customWidth="1"/>
    <col min="57" max="60" width="5.5703125" style="94" bestFit="1" customWidth="1"/>
    <col min="61" max="62" width="6.85546875" style="94" bestFit="1" customWidth="1"/>
    <col min="63" max="64" width="7.140625" style="94" bestFit="1" customWidth="1"/>
    <col min="65" max="16384" width="11.42578125" style="94"/>
  </cols>
  <sheetData>
    <row r="1" spans="2:64" ht="12" thickBot="1" x14ac:dyDescent="0.25"/>
    <row r="2" spans="2:64" x14ac:dyDescent="0.2">
      <c r="B2" s="177" t="s">
        <v>82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9"/>
      <c r="AU2" s="175" t="s">
        <v>57</v>
      </c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</row>
    <row r="3" spans="2:64" s="95" customFormat="1" ht="22.5" x14ac:dyDescent="0.2">
      <c r="B3" s="180" t="s">
        <v>1</v>
      </c>
      <c r="C3" s="181" t="s">
        <v>2</v>
      </c>
      <c r="D3" s="108" t="s">
        <v>98</v>
      </c>
      <c r="E3" s="42" t="s">
        <v>25</v>
      </c>
      <c r="F3" s="42" t="s">
        <v>25</v>
      </c>
      <c r="G3" s="42" t="s">
        <v>25</v>
      </c>
      <c r="H3" s="42" t="s">
        <v>25</v>
      </c>
      <c r="I3" s="42" t="s">
        <v>25</v>
      </c>
      <c r="J3" s="42" t="s">
        <v>25</v>
      </c>
      <c r="K3" s="42" t="s">
        <v>25</v>
      </c>
      <c r="L3" s="42" t="s">
        <v>25</v>
      </c>
      <c r="M3" s="42" t="s">
        <v>25</v>
      </c>
      <c r="N3" s="42" t="s">
        <v>25</v>
      </c>
      <c r="O3" s="42" t="s">
        <v>25</v>
      </c>
      <c r="P3" s="42" t="s">
        <v>25</v>
      </c>
      <c r="Q3" s="42" t="s">
        <v>25</v>
      </c>
      <c r="R3" s="42" t="s">
        <v>25</v>
      </c>
      <c r="S3" s="42" t="s">
        <v>25</v>
      </c>
      <c r="T3" s="42" t="s">
        <v>25</v>
      </c>
      <c r="U3" s="42" t="s">
        <v>25</v>
      </c>
      <c r="V3" s="42" t="s">
        <v>25</v>
      </c>
      <c r="W3" s="42" t="s">
        <v>25</v>
      </c>
      <c r="X3" s="42" t="s">
        <v>25</v>
      </c>
      <c r="Y3" s="42" t="s">
        <v>25</v>
      </c>
      <c r="Z3" s="42" t="s">
        <v>25</v>
      </c>
      <c r="AA3" s="42" t="s">
        <v>25</v>
      </c>
      <c r="AB3" s="42" t="s">
        <v>25</v>
      </c>
      <c r="AC3" s="42" t="s">
        <v>25</v>
      </c>
      <c r="AD3" s="42" t="s">
        <v>25</v>
      </c>
      <c r="AE3" s="42" t="s">
        <v>25</v>
      </c>
      <c r="AF3" s="42" t="s">
        <v>25</v>
      </c>
      <c r="AG3" s="42" t="s">
        <v>25</v>
      </c>
      <c r="AH3" s="42" t="s">
        <v>25</v>
      </c>
      <c r="AI3" s="42" t="s">
        <v>25</v>
      </c>
      <c r="AJ3" s="42" t="s">
        <v>25</v>
      </c>
      <c r="AK3" s="42" t="s">
        <v>25</v>
      </c>
      <c r="AL3" s="42" t="s">
        <v>25</v>
      </c>
      <c r="AM3" s="108" t="s">
        <v>25</v>
      </c>
      <c r="AN3" s="108" t="s">
        <v>26</v>
      </c>
      <c r="AO3" s="108" t="s">
        <v>77</v>
      </c>
      <c r="AP3" s="108" t="s">
        <v>78</v>
      </c>
      <c r="AQ3" s="108" t="s">
        <v>79</v>
      </c>
      <c r="AR3" s="181" t="s">
        <v>27</v>
      </c>
      <c r="AS3" s="176" t="s">
        <v>126</v>
      </c>
      <c r="AT3" s="182"/>
      <c r="AU3" s="175" t="s">
        <v>58</v>
      </c>
      <c r="AV3" s="176"/>
      <c r="AW3" s="176"/>
      <c r="AX3" s="176" t="s">
        <v>84</v>
      </c>
      <c r="AY3" s="176" t="s">
        <v>49</v>
      </c>
      <c r="AZ3" s="176" t="s">
        <v>59</v>
      </c>
      <c r="BA3" s="176"/>
      <c r="BB3" s="176"/>
      <c r="BC3" s="108" t="s">
        <v>60</v>
      </c>
      <c r="BD3" s="108" t="s">
        <v>61</v>
      </c>
      <c r="BE3" s="108" t="s">
        <v>62</v>
      </c>
      <c r="BF3" s="108" t="s">
        <v>63</v>
      </c>
      <c r="BG3" s="108" t="s">
        <v>64</v>
      </c>
      <c r="BH3" s="108" t="s">
        <v>65</v>
      </c>
      <c r="BI3" s="108" t="s">
        <v>66</v>
      </c>
      <c r="BJ3" s="108" t="s">
        <v>67</v>
      </c>
      <c r="BK3" s="108" t="s">
        <v>68</v>
      </c>
      <c r="BL3" s="108" t="s">
        <v>69</v>
      </c>
    </row>
    <row r="4" spans="2:64" x14ac:dyDescent="0.2">
      <c r="B4" s="180"/>
      <c r="C4" s="181"/>
      <c r="D4" s="109" t="s">
        <v>125</v>
      </c>
      <c r="E4" s="42">
        <v>2661</v>
      </c>
      <c r="F4" s="42">
        <f>E4-198</f>
        <v>2463</v>
      </c>
      <c r="G4" s="42">
        <f>F4-198</f>
        <v>2265</v>
      </c>
      <c r="H4" s="42">
        <f>G4-198</f>
        <v>2067</v>
      </c>
      <c r="I4" s="42">
        <f>H4-159</f>
        <v>1908</v>
      </c>
      <c r="J4" s="42">
        <f>I4-159</f>
        <v>1749</v>
      </c>
      <c r="K4" s="42">
        <f>J4-159</f>
        <v>1590</v>
      </c>
      <c r="L4" s="42">
        <f>K4-159</f>
        <v>1431</v>
      </c>
      <c r="M4" s="42">
        <f>L4-159</f>
        <v>1272</v>
      </c>
      <c r="N4" s="42">
        <f t="shared" ref="N4:T4" si="0">M4-159</f>
        <v>1113</v>
      </c>
      <c r="O4" s="42">
        <f t="shared" si="0"/>
        <v>954</v>
      </c>
      <c r="P4" s="42">
        <f t="shared" si="0"/>
        <v>795</v>
      </c>
      <c r="Q4" s="42">
        <f t="shared" si="0"/>
        <v>636</v>
      </c>
      <c r="R4" s="42">
        <f t="shared" si="0"/>
        <v>477</v>
      </c>
      <c r="S4" s="42">
        <f t="shared" si="0"/>
        <v>318</v>
      </c>
      <c r="T4" s="42">
        <f t="shared" si="0"/>
        <v>159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109" t="s">
        <v>3</v>
      </c>
      <c r="AN4" s="109" t="s">
        <v>4</v>
      </c>
      <c r="AO4" s="109" t="s">
        <v>23</v>
      </c>
      <c r="AP4" s="109" t="s">
        <v>23</v>
      </c>
      <c r="AQ4" s="109" t="s">
        <v>23</v>
      </c>
      <c r="AR4" s="181"/>
      <c r="AS4" s="109" t="s">
        <v>5</v>
      </c>
      <c r="AT4" s="112" t="s">
        <v>6</v>
      </c>
      <c r="AU4" s="110" t="s">
        <v>27</v>
      </c>
      <c r="AV4" s="109" t="s">
        <v>70</v>
      </c>
      <c r="AW4" s="109" t="s">
        <v>71</v>
      </c>
      <c r="AX4" s="176"/>
      <c r="AY4" s="176"/>
      <c r="AZ4" s="109" t="s">
        <v>27</v>
      </c>
      <c r="BA4" s="109" t="s">
        <v>70</v>
      </c>
      <c r="BB4" s="109" t="s">
        <v>71</v>
      </c>
      <c r="BC4" s="109" t="s">
        <v>72</v>
      </c>
      <c r="BD4" s="109" t="s">
        <v>72</v>
      </c>
      <c r="BE4" s="109" t="s">
        <v>72</v>
      </c>
      <c r="BF4" s="109" t="s">
        <v>72</v>
      </c>
      <c r="BG4" s="109" t="s">
        <v>72</v>
      </c>
      <c r="BH4" s="109" t="s">
        <v>72</v>
      </c>
      <c r="BI4" s="109" t="s">
        <v>72</v>
      </c>
      <c r="BJ4" s="109" t="s">
        <v>72</v>
      </c>
      <c r="BK4" s="109" t="s">
        <v>72</v>
      </c>
      <c r="BL4" s="109" t="s">
        <v>72</v>
      </c>
    </row>
    <row r="5" spans="2:64" ht="12.75" x14ac:dyDescent="0.2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5"/>
      <c r="AU5" s="111"/>
      <c r="AV5" s="35"/>
      <c r="AW5" s="35"/>
      <c r="AX5" s="35"/>
      <c r="AY5" s="35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2:64" x14ac:dyDescent="0.2">
      <c r="B6" s="186" t="s">
        <v>130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07"/>
      <c r="AP6" s="107"/>
      <c r="AQ6" s="107"/>
      <c r="AR6" s="107"/>
      <c r="AS6" s="107"/>
      <c r="AT6" s="113"/>
      <c r="AU6" s="107"/>
      <c r="AV6" s="107"/>
      <c r="AW6" s="96"/>
      <c r="AX6" s="35"/>
      <c r="AY6" s="35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</row>
    <row r="7" spans="2:64" x14ac:dyDescent="0.2">
      <c r="B7" s="114">
        <v>0</v>
      </c>
      <c r="C7" s="61">
        <v>1</v>
      </c>
      <c r="D7" s="37">
        <v>10</v>
      </c>
      <c r="E7" s="61">
        <v>1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38">
        <f>(E7*E$4+F7*F$4+G7*G$4+H7*$H$4+I7*I$4+J7*J$4+K7*K$4+L7*L$4+O7*O$4+Q7*Q$4+M7*$M$4+N7*$N$4+R7*$R$4+S7*$S$4+T7*$T$4+U7*$U$4+P7*$P$4)/1000</f>
        <v>2.661</v>
      </c>
      <c r="AN7" s="37">
        <f>AM7*D7</f>
        <v>26.61</v>
      </c>
      <c r="AO7" s="61">
        <v>4</v>
      </c>
      <c r="AP7" s="61">
        <v>4</v>
      </c>
      <c r="AQ7" s="61"/>
      <c r="AR7" s="61">
        <v>3</v>
      </c>
      <c r="AS7" s="36">
        <f>AN7*VLOOKUP(AO7&amp;"-"&amp;AR7&amp;"F",tabla,2,FALSE)</f>
        <v>8.7611296199999994E-2</v>
      </c>
      <c r="AT7" s="115">
        <f>AS7</f>
        <v>8.7611296199999994E-2</v>
      </c>
      <c r="AU7" s="111">
        <v>1</v>
      </c>
      <c r="AV7" s="35">
        <v>1</v>
      </c>
      <c r="AW7" s="35"/>
      <c r="AX7" s="61"/>
      <c r="AY7" s="61"/>
      <c r="AZ7" s="61">
        <f>+AU7*D7</f>
        <v>10</v>
      </c>
      <c r="BA7" s="61">
        <f>+AV7*D7</f>
        <v>10</v>
      </c>
      <c r="BB7" s="61">
        <f>+AW7*D7</f>
        <v>0</v>
      </c>
      <c r="BC7" s="61">
        <f>+BB7+BB7</f>
        <v>0</v>
      </c>
      <c r="BD7" s="61"/>
      <c r="BE7" s="61"/>
      <c r="BF7" s="61"/>
      <c r="BG7" s="61"/>
      <c r="BH7" s="61"/>
      <c r="BI7" s="61"/>
      <c r="BJ7" s="61"/>
      <c r="BK7" s="61"/>
      <c r="BL7" s="61"/>
    </row>
    <row r="8" spans="2:64" x14ac:dyDescent="0.2"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5"/>
      <c r="AP8" s="166"/>
      <c r="AQ8" s="166"/>
      <c r="AR8" s="166"/>
      <c r="AS8" s="166"/>
      <c r="AT8" s="167"/>
      <c r="AU8" s="174"/>
      <c r="AV8" s="174"/>
      <c r="AW8" s="174"/>
      <c r="AX8" s="35"/>
      <c r="AY8" s="35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</row>
    <row r="9" spans="2:64" x14ac:dyDescent="0.2">
      <c r="B9" s="114">
        <v>1</v>
      </c>
      <c r="C9" s="61">
        <f>C7+1</f>
        <v>2</v>
      </c>
      <c r="D9" s="37">
        <v>45</v>
      </c>
      <c r="E9" s="61"/>
      <c r="F9" s="61">
        <v>1</v>
      </c>
      <c r="G9" s="35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38">
        <f>(E9*E$4+F9*F$4+G9*G$4+H9*$H$4+I9*I$4+J9*J$4+K9*K$4+L9*L$4+O9*O$4+Q9*Q$4+M9*$M$4+N9*$N$4+R9*$R$4+S9*$S$4+T9*$T$4+U9*$U$4+P9*$P$4)/1000</f>
        <v>2.4630000000000001</v>
      </c>
      <c r="AN9" s="37">
        <f>AM9*D9</f>
        <v>110.83500000000001</v>
      </c>
      <c r="AO9" s="61">
        <v>4</v>
      </c>
      <c r="AP9" s="61">
        <v>4</v>
      </c>
      <c r="AQ9" s="61"/>
      <c r="AR9" s="61">
        <v>3</v>
      </c>
      <c r="AS9" s="36">
        <f>AN9*VLOOKUP(AO9&amp;"-"&amp;AR9&amp;"F",tabla,2,FALSE)</f>
        <v>0.36491537070000002</v>
      </c>
      <c r="AT9" s="115">
        <f>AS9+AT7</f>
        <v>0.45252666689999999</v>
      </c>
      <c r="AU9" s="111">
        <v>1</v>
      </c>
      <c r="AV9" s="35">
        <v>1</v>
      </c>
      <c r="AW9" s="35"/>
      <c r="AX9" s="61"/>
      <c r="AY9" s="61"/>
      <c r="AZ9" s="61">
        <f>+AU9*D9</f>
        <v>45</v>
      </c>
      <c r="BA9" s="61">
        <f>+AV9*D9</f>
        <v>45</v>
      </c>
      <c r="BB9" s="61">
        <f>+AW9*D9</f>
        <v>0</v>
      </c>
      <c r="BC9" s="61">
        <f>+BB9+BB9</f>
        <v>0</v>
      </c>
      <c r="BD9" s="61"/>
      <c r="BE9" s="61"/>
      <c r="BF9" s="61"/>
      <c r="BG9" s="61"/>
      <c r="BH9" s="61"/>
      <c r="BI9" s="61"/>
      <c r="BJ9" s="61"/>
      <c r="BK9" s="61"/>
      <c r="BL9" s="61"/>
    </row>
    <row r="10" spans="2:64" x14ac:dyDescent="0.2">
      <c r="B10" s="16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5"/>
      <c r="AP10" s="166"/>
      <c r="AQ10" s="166"/>
      <c r="AR10" s="166"/>
      <c r="AS10" s="166"/>
      <c r="AT10" s="167"/>
      <c r="AU10" s="107"/>
      <c r="AV10" s="107"/>
      <c r="AW10" s="96"/>
      <c r="AX10" s="35"/>
      <c r="AY10" s="35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2:64" x14ac:dyDescent="0.2">
      <c r="B11" s="114">
        <v>2</v>
      </c>
      <c r="C11" s="61">
        <f>C9+1</f>
        <v>3</v>
      </c>
      <c r="D11" s="37">
        <v>40</v>
      </c>
      <c r="E11" s="61"/>
      <c r="F11" s="61"/>
      <c r="G11" s="61">
        <v>1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38">
        <f>(E11*E$4+F11*F$4+G11*G$4+H11*$H$4+I11*I$4+J11*J$4+K11*K$4+L11*L$4+O11*O$4+Q11*Q$4+M11*$M$4+N11*$N$4+R11*$R$4+S11*$S$4+T11*$T$4+U11*$U$4+P11*$P$4)/1000</f>
        <v>2.2650000000000001</v>
      </c>
      <c r="AN11" s="37">
        <f>AM11*D11</f>
        <v>90.600000000000009</v>
      </c>
      <c r="AO11" s="61">
        <v>4</v>
      </c>
      <c r="AP11" s="61">
        <v>4</v>
      </c>
      <c r="AQ11" s="61"/>
      <c r="AR11" s="61">
        <v>3</v>
      </c>
      <c r="AS11" s="36">
        <f>AN11*VLOOKUP(AO11&amp;"-"&amp;AR11&amp;"F",tabla,2,FALSE)</f>
        <v>0.29829325200000001</v>
      </c>
      <c r="AT11" s="115">
        <f>AS11+AT9</f>
        <v>0.75081991889999999</v>
      </c>
      <c r="AU11" s="111">
        <v>1</v>
      </c>
      <c r="AV11" s="35">
        <v>1</v>
      </c>
      <c r="AW11" s="35"/>
      <c r="AX11" s="35"/>
      <c r="AY11" s="35"/>
      <c r="AZ11" s="61">
        <f>+AU11*D11</f>
        <v>40</v>
      </c>
      <c r="BA11" s="61">
        <f>+AV11*D11</f>
        <v>40</v>
      </c>
      <c r="BB11" s="61">
        <f>+AW11*D11</f>
        <v>0</v>
      </c>
      <c r="BC11" s="61">
        <f>+BB11+BB11</f>
        <v>0</v>
      </c>
      <c r="BD11" s="61"/>
      <c r="BE11" s="61"/>
      <c r="BF11" s="61"/>
      <c r="BG11" s="61"/>
      <c r="BH11" s="61"/>
      <c r="BI11" s="61"/>
      <c r="BJ11" s="61"/>
      <c r="BK11" s="61"/>
      <c r="BL11" s="61"/>
    </row>
    <row r="12" spans="2:64" x14ac:dyDescent="0.2"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4"/>
      <c r="AO12" s="165"/>
      <c r="AP12" s="166"/>
      <c r="AQ12" s="166"/>
      <c r="AR12" s="166"/>
      <c r="AS12" s="166"/>
      <c r="AT12" s="167"/>
      <c r="AU12" s="107"/>
      <c r="AV12" s="107"/>
      <c r="AW12" s="96"/>
      <c r="AX12" s="35"/>
      <c r="AY12" s="35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</row>
    <row r="13" spans="2:64" x14ac:dyDescent="0.2">
      <c r="B13" s="114">
        <v>3</v>
      </c>
      <c r="C13" s="61">
        <f>C11+1</f>
        <v>4</v>
      </c>
      <c r="D13" s="37">
        <v>40</v>
      </c>
      <c r="E13" s="61"/>
      <c r="F13" s="61"/>
      <c r="G13" s="61"/>
      <c r="H13" s="61">
        <v>1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38">
        <f>(E13*E$4+F13*F$4+G13*G$4+H13*$H$4+I13*I$4+J13*J$4+K13*K$4+L13*L$4+O13*O$4+Q13*Q$4+M13*$M$4+N13*$N$4+R13*$R$4+S13*$S$4+T13*$T$4+U13*$U$4+P13*$P$4)/1000</f>
        <v>2.0670000000000002</v>
      </c>
      <c r="AN13" s="37">
        <f>AM13*D13</f>
        <v>82.68</v>
      </c>
      <c r="AO13" s="61">
        <v>4</v>
      </c>
      <c r="AP13" s="61">
        <v>4</v>
      </c>
      <c r="AQ13" s="61"/>
      <c r="AR13" s="61">
        <v>3</v>
      </c>
      <c r="AS13" s="36">
        <f>AN13*VLOOKUP(AO13&amp;"-"&amp;AR13&amp;"F",tabla,2,FALSE)</f>
        <v>0.27221728560000003</v>
      </c>
      <c r="AT13" s="115">
        <f>AS13+AT11</f>
        <v>1.0230372045</v>
      </c>
      <c r="AU13" s="111">
        <v>1</v>
      </c>
      <c r="AV13" s="35">
        <v>1</v>
      </c>
      <c r="AW13" s="35"/>
      <c r="AX13" s="35"/>
      <c r="AY13" s="35"/>
      <c r="AZ13" s="61">
        <f>+AU13*D13</f>
        <v>40</v>
      </c>
      <c r="BA13" s="61">
        <f>+AV13*D13</f>
        <v>40</v>
      </c>
      <c r="BB13" s="61">
        <f>+AW13*D13</f>
        <v>0</v>
      </c>
      <c r="BC13" s="61">
        <f>+BB13+BB13</f>
        <v>0</v>
      </c>
      <c r="BD13" s="61"/>
      <c r="BE13" s="61"/>
      <c r="BF13" s="61"/>
      <c r="BG13" s="61"/>
      <c r="BH13" s="61"/>
      <c r="BI13" s="61"/>
      <c r="BJ13" s="61"/>
      <c r="BK13" s="61"/>
      <c r="BL13" s="61"/>
    </row>
    <row r="14" spans="2:64" x14ac:dyDescent="0.2">
      <c r="B14" s="162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4"/>
      <c r="AO14" s="165"/>
      <c r="AP14" s="166"/>
      <c r="AQ14" s="166"/>
      <c r="AR14" s="166"/>
      <c r="AS14" s="166"/>
      <c r="AT14" s="167"/>
      <c r="AU14" s="166"/>
      <c r="AV14" s="166"/>
      <c r="AW14" s="188"/>
      <c r="AX14" s="35"/>
      <c r="AY14" s="35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</row>
    <row r="15" spans="2:64" x14ac:dyDescent="0.2">
      <c r="B15" s="114">
        <v>4</v>
      </c>
      <c r="C15" s="61">
        <f>C13+1</f>
        <v>5</v>
      </c>
      <c r="D15" s="37">
        <v>40</v>
      </c>
      <c r="E15" s="61"/>
      <c r="F15" s="61"/>
      <c r="G15" s="61"/>
      <c r="H15" s="61"/>
      <c r="I15" s="61">
        <v>1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38">
        <f>(E15*E$4+F15*F$4+G15*G$4+H15*$H$4+I15*I$4+J15*J$4+K15*K$4+L15*L$4+O15*O$4+Q15*Q$4+M15*$M$4+N15*$N$4+R15*$R$4+S15*$S$4+T15*$T$4+U15*$U$4+P15*$P$4)/1000</f>
        <v>1.9079999999999999</v>
      </c>
      <c r="AN15" s="37">
        <f>AM15*D15</f>
        <v>76.319999999999993</v>
      </c>
      <c r="AO15" s="61">
        <v>4</v>
      </c>
      <c r="AP15" s="61">
        <v>4</v>
      </c>
      <c r="AQ15" s="61"/>
      <c r="AR15" s="61">
        <v>3</v>
      </c>
      <c r="AS15" s="36">
        <f>AN15*VLOOKUP(AO15&amp;"-"&amp;AR15&amp;"F",tabla,2,FALSE)</f>
        <v>0.25127749439999997</v>
      </c>
      <c r="AT15" s="115">
        <f>AS15+AT13</f>
        <v>1.2743146989</v>
      </c>
      <c r="AU15" s="111">
        <v>1</v>
      </c>
      <c r="AV15" s="35">
        <v>1</v>
      </c>
      <c r="AW15" s="35"/>
      <c r="AX15" s="35"/>
      <c r="AY15" s="35"/>
      <c r="AZ15" s="61">
        <f>+AU15*D15</f>
        <v>40</v>
      </c>
      <c r="BA15" s="61">
        <f>+AV15*D15</f>
        <v>40</v>
      </c>
      <c r="BB15" s="61">
        <f>+AW15*D15</f>
        <v>0</v>
      </c>
      <c r="BC15" s="61">
        <f>+BB15+BB15</f>
        <v>0</v>
      </c>
      <c r="BD15" s="61"/>
      <c r="BE15" s="61"/>
      <c r="BF15" s="61"/>
      <c r="BG15" s="61"/>
      <c r="BH15" s="61"/>
      <c r="BI15" s="61"/>
      <c r="BJ15" s="61"/>
      <c r="BK15" s="61"/>
      <c r="BL15" s="61"/>
    </row>
    <row r="16" spans="2:64" x14ac:dyDescent="0.2"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4"/>
      <c r="AO16" s="165"/>
      <c r="AP16" s="166"/>
      <c r="AQ16" s="166"/>
      <c r="AR16" s="166"/>
      <c r="AS16" s="166"/>
      <c r="AT16" s="167"/>
      <c r="AU16" s="107"/>
      <c r="AV16" s="107"/>
      <c r="AW16" s="96"/>
      <c r="AX16" s="35"/>
      <c r="AY16" s="35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</row>
    <row r="17" spans="2:64" x14ac:dyDescent="0.2">
      <c r="B17" s="114">
        <v>5</v>
      </c>
      <c r="C17" s="61">
        <f>C15+1</f>
        <v>6</v>
      </c>
      <c r="D17" s="37">
        <v>40</v>
      </c>
      <c r="E17" s="61"/>
      <c r="F17" s="61"/>
      <c r="G17" s="61"/>
      <c r="H17" s="61"/>
      <c r="I17" s="61"/>
      <c r="J17" s="61">
        <v>1</v>
      </c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38">
        <f>(E17*E$4+F17*F$4+G17*G$4+H17*$H$4+I17*I$4+J17*J$4+K17*K$4+L17*L$4+O17*O$4+Q17*Q$4+M17*$M$4+N17*$N$4+R17*$R$4+S17*$S$4+T17*$T$4+U17*$U$4+P17*$P$4)/1000</f>
        <v>1.7490000000000001</v>
      </c>
      <c r="AN17" s="37">
        <f>AM17*D17</f>
        <v>69.960000000000008</v>
      </c>
      <c r="AO17" s="61">
        <v>4</v>
      </c>
      <c r="AP17" s="61">
        <v>4</v>
      </c>
      <c r="AQ17" s="61"/>
      <c r="AR17" s="61">
        <v>3</v>
      </c>
      <c r="AS17" s="36">
        <f>AN17*VLOOKUP(AO17&amp;"-"&amp;AR17&amp;"F",tabla,2,FALSE)</f>
        <v>0.23033770320000002</v>
      </c>
      <c r="AT17" s="115">
        <f>AS17+AT15</f>
        <v>1.5046524021000001</v>
      </c>
      <c r="AU17" s="111">
        <v>1</v>
      </c>
      <c r="AV17" s="35">
        <v>1</v>
      </c>
      <c r="AW17" s="35"/>
      <c r="AX17" s="35"/>
      <c r="AY17" s="35"/>
      <c r="AZ17" s="61">
        <f>+AU17*D17</f>
        <v>40</v>
      </c>
      <c r="BA17" s="61">
        <f>+AV17*D17</f>
        <v>40</v>
      </c>
      <c r="BB17" s="61">
        <f>+AW17*D17</f>
        <v>0</v>
      </c>
      <c r="BC17" s="61">
        <f>+BB17+BB17</f>
        <v>0</v>
      </c>
      <c r="BD17" s="61"/>
      <c r="BE17" s="61"/>
      <c r="BF17" s="61"/>
      <c r="BG17" s="61"/>
      <c r="BH17" s="61"/>
      <c r="BI17" s="61"/>
      <c r="BJ17" s="61"/>
      <c r="BK17" s="61"/>
      <c r="BL17" s="61"/>
    </row>
    <row r="18" spans="2:64" x14ac:dyDescent="0.2">
      <c r="B18" s="186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07"/>
      <c r="AP18" s="107"/>
      <c r="AQ18" s="107"/>
      <c r="AR18" s="107"/>
      <c r="AS18" s="107"/>
      <c r="AT18" s="113"/>
      <c r="AU18" s="107"/>
      <c r="AV18" s="107"/>
      <c r="AW18" s="96"/>
      <c r="AX18" s="35"/>
      <c r="AY18" s="35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2:64" x14ac:dyDescent="0.2">
      <c r="B19" s="114">
        <v>6</v>
      </c>
      <c r="C19" s="61">
        <v>7</v>
      </c>
      <c r="D19" s="37">
        <v>40</v>
      </c>
      <c r="E19" s="61"/>
      <c r="F19" s="61"/>
      <c r="G19" s="61"/>
      <c r="H19" s="61"/>
      <c r="I19" s="61"/>
      <c r="J19" s="61"/>
      <c r="K19" s="61">
        <v>1</v>
      </c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38">
        <f>(E19*E$4+F19*F$4+G19*G$4+H19*$H$4+I19*I$4+J19*J$4+K19*K$4+L19*L$4+O19*O$4+Q19*Q$4+M19*$M$4+N19*$N$4+R19*$R$4+S19*$S$4+T19*$T$4+U19*$U$4+P19*$P$4)/1000</f>
        <v>1.59</v>
      </c>
      <c r="AN19" s="37">
        <f>AM19*D19</f>
        <v>63.6</v>
      </c>
      <c r="AO19" s="61">
        <v>4</v>
      </c>
      <c r="AP19" s="61">
        <v>4</v>
      </c>
      <c r="AQ19" s="61"/>
      <c r="AR19" s="61">
        <v>3</v>
      </c>
      <c r="AS19" s="36">
        <f>AN19*VLOOKUP(AO19&amp;"-"&amp;AR19&amp;"F",tabla,2,FALSE)</f>
        <v>0.20939791199999999</v>
      </c>
      <c r="AT19" s="115">
        <f>AS19+AT17</f>
        <v>1.7140503141000001</v>
      </c>
      <c r="AU19" s="111">
        <v>1</v>
      </c>
      <c r="AV19" s="35">
        <v>1</v>
      </c>
      <c r="AW19" s="35"/>
      <c r="AX19" s="61"/>
      <c r="AY19" s="61"/>
      <c r="AZ19" s="61">
        <f>+AU19*D19</f>
        <v>40</v>
      </c>
      <c r="BA19" s="61">
        <f>+AV19*D19</f>
        <v>40</v>
      </c>
      <c r="BB19" s="61">
        <f>+AW19*D19</f>
        <v>0</v>
      </c>
      <c r="BC19" s="61">
        <f>+BB19+BB19</f>
        <v>0</v>
      </c>
      <c r="BD19" s="61"/>
      <c r="BE19" s="61"/>
      <c r="BF19" s="61"/>
      <c r="BG19" s="61"/>
      <c r="BH19" s="61"/>
      <c r="BI19" s="61"/>
      <c r="BJ19" s="61"/>
      <c r="BK19" s="61"/>
      <c r="BL19" s="61"/>
    </row>
    <row r="20" spans="2:64" x14ac:dyDescent="0.2"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5"/>
      <c r="AP20" s="166"/>
      <c r="AQ20" s="166"/>
      <c r="AR20" s="166"/>
      <c r="AS20" s="166"/>
      <c r="AT20" s="167"/>
      <c r="AU20" s="174"/>
      <c r="AV20" s="174"/>
      <c r="AW20" s="174"/>
      <c r="AX20" s="35"/>
      <c r="AY20" s="35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</row>
    <row r="21" spans="2:64" x14ac:dyDescent="0.2">
      <c r="B21" s="114">
        <v>7</v>
      </c>
      <c r="C21" s="61">
        <f>C19+1</f>
        <v>8</v>
      </c>
      <c r="D21" s="37">
        <v>40</v>
      </c>
      <c r="E21" s="61"/>
      <c r="F21" s="61"/>
      <c r="G21" s="35"/>
      <c r="H21" s="61"/>
      <c r="I21" s="61"/>
      <c r="J21" s="61"/>
      <c r="K21" s="61"/>
      <c r="L21" s="61">
        <v>1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38">
        <f>(E21*E$4+F21*F$4+G21*G$4+H21*$H$4+I21*I$4+J21*J$4+K21*K$4+L21*L$4+O21*O$4+Q21*Q$4+M21*$M$4+N21*$N$4+R21*$R$4+S21*$S$4+T21*$T$4+U21*$U$4+P21*$P$4)/1000</f>
        <v>1.431</v>
      </c>
      <c r="AN21" s="37">
        <f>AM21*D21</f>
        <v>57.24</v>
      </c>
      <c r="AO21" s="61">
        <v>4</v>
      </c>
      <c r="AP21" s="61">
        <v>4</v>
      </c>
      <c r="AQ21" s="61"/>
      <c r="AR21" s="61">
        <v>3</v>
      </c>
      <c r="AS21" s="36">
        <f>AN21*VLOOKUP(AO21&amp;"-"&amp;AR21&amp;"F",tabla,2,FALSE)</f>
        <v>0.18845812079999999</v>
      </c>
      <c r="AT21" s="115">
        <f>AS21+AT19</f>
        <v>1.9025084349000001</v>
      </c>
      <c r="AU21" s="111">
        <v>1</v>
      </c>
      <c r="AV21" s="35">
        <v>1</v>
      </c>
      <c r="AW21" s="35"/>
      <c r="AX21" s="61"/>
      <c r="AY21" s="61"/>
      <c r="AZ21" s="61">
        <f>+AU21*D21</f>
        <v>40</v>
      </c>
      <c r="BA21" s="61">
        <f>+AV21*D21</f>
        <v>40</v>
      </c>
      <c r="BB21" s="61">
        <f>+AW21*D21</f>
        <v>0</v>
      </c>
      <c r="BC21" s="61">
        <f>+BB21+BB21</f>
        <v>0</v>
      </c>
      <c r="BD21" s="61"/>
      <c r="BE21" s="61"/>
      <c r="BF21" s="61"/>
      <c r="BG21" s="61"/>
      <c r="BH21" s="61"/>
      <c r="BI21" s="61"/>
      <c r="BJ21" s="61"/>
      <c r="BK21" s="61"/>
      <c r="BL21" s="61"/>
    </row>
    <row r="22" spans="2:64" x14ac:dyDescent="0.2"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4"/>
      <c r="AO22" s="165"/>
      <c r="AP22" s="166"/>
      <c r="AQ22" s="166"/>
      <c r="AR22" s="166"/>
      <c r="AS22" s="166"/>
      <c r="AT22" s="167"/>
      <c r="AU22" s="107"/>
      <c r="AV22" s="107"/>
      <c r="AW22" s="96"/>
      <c r="AX22" s="35"/>
      <c r="AY22" s="35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</row>
    <row r="23" spans="2:64" ht="12" customHeight="1" x14ac:dyDescent="0.2">
      <c r="B23" s="114">
        <v>8</v>
      </c>
      <c r="C23" s="61">
        <f>C21+1</f>
        <v>9</v>
      </c>
      <c r="D23" s="37">
        <v>40</v>
      </c>
      <c r="E23" s="61"/>
      <c r="F23" s="61"/>
      <c r="G23" s="61"/>
      <c r="H23" s="61"/>
      <c r="I23" s="61"/>
      <c r="J23" s="61"/>
      <c r="K23" s="61"/>
      <c r="L23" s="61"/>
      <c r="M23" s="61">
        <v>1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38">
        <f>(E23*E$4+F23*F$4+G23*G$4+H23*$H$4+I23*I$4+J23*J$4+K23*K$4+L23*L$4+O23*O$4+Q23*Q$4+M23*$M$4+N23*$N$4+R23*$R$4+S23*$S$4+T23*$T$4+U23*$U$4+P23*$P$4)/1000</f>
        <v>1.272</v>
      </c>
      <c r="AN23" s="37">
        <f>AM23*D23</f>
        <v>50.88</v>
      </c>
      <c r="AO23" s="61">
        <v>4</v>
      </c>
      <c r="AP23" s="61">
        <v>4</v>
      </c>
      <c r="AQ23" s="61"/>
      <c r="AR23" s="61">
        <v>3</v>
      </c>
      <c r="AS23" s="36">
        <f>AN23*VLOOKUP(AO23&amp;"-"&amp;AR23&amp;"F",tabla,2,FALSE)</f>
        <v>0.16751832960000002</v>
      </c>
      <c r="AT23" s="115">
        <f>AS23+AT21</f>
        <v>2.0700267645000001</v>
      </c>
      <c r="AU23" s="111">
        <v>1</v>
      </c>
      <c r="AV23" s="35">
        <v>1</v>
      </c>
      <c r="AW23" s="35"/>
      <c r="AX23" s="35"/>
      <c r="AY23" s="35"/>
      <c r="AZ23" s="61">
        <f>+AU23*D23</f>
        <v>40</v>
      </c>
      <c r="BA23" s="61">
        <f>+AV23*D23</f>
        <v>40</v>
      </c>
      <c r="BB23" s="61">
        <f>+AW23*D23</f>
        <v>0</v>
      </c>
      <c r="BC23" s="61">
        <f>+BB23+BB23</f>
        <v>0</v>
      </c>
      <c r="BD23" s="61"/>
      <c r="BE23" s="61"/>
      <c r="BF23" s="61"/>
      <c r="BG23" s="61"/>
      <c r="BH23" s="61"/>
      <c r="BI23" s="61"/>
      <c r="BJ23" s="61"/>
      <c r="BK23" s="61"/>
      <c r="BL23" s="61"/>
    </row>
    <row r="24" spans="2:64" x14ac:dyDescent="0.2"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4"/>
      <c r="AO24" s="165"/>
      <c r="AP24" s="166"/>
      <c r="AQ24" s="166"/>
      <c r="AR24" s="166"/>
      <c r="AS24" s="166"/>
      <c r="AT24" s="167"/>
      <c r="AU24" s="107"/>
      <c r="AV24" s="107"/>
      <c r="AW24" s="96"/>
      <c r="AX24" s="35"/>
      <c r="AY24" s="35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</row>
    <row r="25" spans="2:64" x14ac:dyDescent="0.2">
      <c r="B25" s="114">
        <v>9</v>
      </c>
      <c r="C25" s="61">
        <f>C23+1</f>
        <v>10</v>
      </c>
      <c r="D25" s="37">
        <v>40</v>
      </c>
      <c r="E25" s="61"/>
      <c r="F25" s="61"/>
      <c r="G25" s="61"/>
      <c r="H25" s="61"/>
      <c r="I25" s="61"/>
      <c r="J25" s="61"/>
      <c r="K25" s="61"/>
      <c r="L25" s="61"/>
      <c r="M25" s="61"/>
      <c r="N25" s="61">
        <v>1</v>
      </c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38">
        <f>(E25*E$4+F25*F$4+G25*G$4+H25*$H$4+I25*I$4+J25*J$4+K25*K$4+L25*L$4+O25*O$4+Q25*Q$4+M25*$M$4+N25*$N$4+R25*$R$4+S25*$S$4+T25*$T$4+U25*$U$4+P25*$P$4)/1000</f>
        <v>1.113</v>
      </c>
      <c r="AN25" s="37">
        <f>AM25*D25</f>
        <v>44.519999999999996</v>
      </c>
      <c r="AO25" s="61">
        <v>4</v>
      </c>
      <c r="AP25" s="61">
        <v>4</v>
      </c>
      <c r="AQ25" s="61"/>
      <c r="AR25" s="61">
        <v>3</v>
      </c>
      <c r="AS25" s="36">
        <f>AN25*VLOOKUP(AO25&amp;"-"&amp;AR25&amp;"F",tabla,2,FALSE)</f>
        <v>0.14657853839999999</v>
      </c>
      <c r="AT25" s="115">
        <f>AS25+AT23</f>
        <v>2.2166053029000001</v>
      </c>
      <c r="AU25" s="111">
        <v>1</v>
      </c>
      <c r="AV25" s="35">
        <v>1</v>
      </c>
      <c r="AW25" s="35"/>
      <c r="AX25" s="35"/>
      <c r="AY25" s="35"/>
      <c r="AZ25" s="61">
        <f>+AU25*D25</f>
        <v>40</v>
      </c>
      <c r="BA25" s="61">
        <f>+AV25*D25</f>
        <v>40</v>
      </c>
      <c r="BB25" s="61">
        <f>+AW25*D25</f>
        <v>0</v>
      </c>
      <c r="BC25" s="61">
        <f>+BB25+BB25</f>
        <v>0</v>
      </c>
      <c r="BD25" s="61"/>
      <c r="BE25" s="61"/>
      <c r="BF25" s="61"/>
      <c r="BG25" s="61"/>
      <c r="BH25" s="61"/>
      <c r="BI25" s="61"/>
      <c r="BJ25" s="61"/>
      <c r="BK25" s="61"/>
      <c r="BL25" s="61"/>
    </row>
    <row r="26" spans="2:64" x14ac:dyDescent="0.2"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4"/>
      <c r="AO26" s="165"/>
      <c r="AP26" s="166"/>
      <c r="AQ26" s="166"/>
      <c r="AR26" s="166"/>
      <c r="AS26" s="166"/>
      <c r="AT26" s="167"/>
      <c r="AU26" s="166"/>
      <c r="AV26" s="166"/>
      <c r="AW26" s="188"/>
      <c r="AX26" s="35"/>
      <c r="AY26" s="35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2:64" x14ac:dyDescent="0.2">
      <c r="B27" s="114">
        <v>10</v>
      </c>
      <c r="C27" s="61">
        <f>C25+1</f>
        <v>11</v>
      </c>
      <c r="D27" s="37">
        <v>40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1</v>
      </c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38">
        <f>(E27*E$4+F27*F$4+G27*G$4+H27*$H$4+I27*I$4+J27*J$4+K27*K$4+L27*L$4+O27*O$4+Q27*Q$4+M27*$M$4+N27*$N$4+R27*$R$4+S27*$S$4+T27*$T$4+U27*$U$4+P27*$P$4)/1000</f>
        <v>0.95399999999999996</v>
      </c>
      <c r="AN27" s="37">
        <f>AM27*D27</f>
        <v>38.159999999999997</v>
      </c>
      <c r="AO27" s="61">
        <v>4</v>
      </c>
      <c r="AP27" s="61">
        <v>4</v>
      </c>
      <c r="AQ27" s="61"/>
      <c r="AR27" s="61">
        <v>3</v>
      </c>
      <c r="AS27" s="36">
        <f>AN27*VLOOKUP(AO27&amp;"-"&amp;AR27&amp;"F",tabla,2,FALSE)</f>
        <v>0.12563874719999998</v>
      </c>
      <c r="AT27" s="115">
        <f>AS27+AT25</f>
        <v>2.3422440501000001</v>
      </c>
      <c r="AU27" s="111">
        <v>1</v>
      </c>
      <c r="AV27" s="35">
        <v>1</v>
      </c>
      <c r="AW27" s="35"/>
      <c r="AX27" s="35"/>
      <c r="AY27" s="35"/>
      <c r="AZ27" s="61">
        <f>+AU27*D27</f>
        <v>40</v>
      </c>
      <c r="BA27" s="61">
        <f>+AV27*D27</f>
        <v>40</v>
      </c>
      <c r="BB27" s="61">
        <f>+AW27*D27</f>
        <v>0</v>
      </c>
      <c r="BC27" s="61">
        <f>+BB27+BB27</f>
        <v>0</v>
      </c>
      <c r="BD27" s="61"/>
      <c r="BE27" s="61"/>
      <c r="BF27" s="61"/>
      <c r="BG27" s="61"/>
      <c r="BH27" s="61"/>
      <c r="BI27" s="61"/>
      <c r="BJ27" s="61"/>
      <c r="BK27" s="61"/>
      <c r="BL27" s="61"/>
    </row>
    <row r="28" spans="2:64" x14ac:dyDescent="0.2"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4"/>
      <c r="AO28" s="165"/>
      <c r="AP28" s="166"/>
      <c r="AQ28" s="166"/>
      <c r="AR28" s="166"/>
      <c r="AS28" s="166"/>
      <c r="AT28" s="167"/>
      <c r="AU28" s="107"/>
      <c r="AV28" s="107"/>
      <c r="AW28" s="96"/>
      <c r="AX28" s="35"/>
      <c r="AY28" s="35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2:64" x14ac:dyDescent="0.2">
      <c r="B29" s="114">
        <v>11</v>
      </c>
      <c r="C29" s="61">
        <v>12</v>
      </c>
      <c r="D29" s="37">
        <v>40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>
        <v>1</v>
      </c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38">
        <f>(E29*E$4+F29*F$4+G29*G$4+H29*$H$4+I29*I$4+J29*J$4+K29*K$4+L29*L$4+O29*O$4+Q29*Q$4+M29*$M$4+N29*$N$4+R29*$R$4+S29*$S$4+T29*$T$4+U29*$U$4+P29*$P$4)/1000</f>
        <v>0.79500000000000004</v>
      </c>
      <c r="AN29" s="37">
        <f>AM29*D29</f>
        <v>31.8</v>
      </c>
      <c r="AO29" s="61">
        <v>4</v>
      </c>
      <c r="AP29" s="61">
        <v>4</v>
      </c>
      <c r="AQ29" s="61"/>
      <c r="AR29" s="61">
        <v>1</v>
      </c>
      <c r="AS29" s="36">
        <f>AN29*VLOOKUP(AO29&amp;"-"&amp;AR29&amp;"F",tabla,2,FALSE)</f>
        <v>0.18821434200000001</v>
      </c>
      <c r="AT29" s="115">
        <f>AS29+AT27</f>
        <v>2.5304583921000003</v>
      </c>
      <c r="AU29" s="111">
        <v>1</v>
      </c>
      <c r="AV29" s="35">
        <v>1</v>
      </c>
      <c r="AW29" s="35"/>
      <c r="AX29" s="35"/>
      <c r="AY29" s="35"/>
      <c r="AZ29" s="61">
        <f>+AU29*D29</f>
        <v>40</v>
      </c>
      <c r="BA29" s="61">
        <f>+AV29*D29</f>
        <v>40</v>
      </c>
      <c r="BB29" s="61">
        <f>+AW29*D29</f>
        <v>0</v>
      </c>
      <c r="BC29" s="61">
        <f>+BB29+BB29</f>
        <v>0</v>
      </c>
      <c r="BD29" s="61"/>
      <c r="BE29" s="61"/>
      <c r="BF29" s="61"/>
      <c r="BG29" s="61"/>
      <c r="BH29" s="61"/>
      <c r="BI29" s="61"/>
      <c r="BJ29" s="61"/>
      <c r="BK29" s="61"/>
      <c r="BL29" s="61"/>
    </row>
    <row r="30" spans="2:64" x14ac:dyDescent="0.2">
      <c r="B30" s="186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07"/>
      <c r="AP30" s="107"/>
      <c r="AQ30" s="107"/>
      <c r="AR30" s="107"/>
      <c r="AS30" s="107"/>
      <c r="AT30" s="113"/>
      <c r="AU30" s="107"/>
      <c r="AV30" s="107"/>
      <c r="AW30" s="96"/>
      <c r="AX30" s="35"/>
      <c r="AY30" s="35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</row>
    <row r="31" spans="2:64" x14ac:dyDescent="0.2">
      <c r="B31" s="114">
        <v>12</v>
      </c>
      <c r="C31" s="61">
        <v>13</v>
      </c>
      <c r="D31" s="37">
        <v>40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1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38">
        <f>(E31*E$4+F31*F$4+G31*G$4+H31*$H$4+I31*I$4+J31*J$4+K31*K$4+L31*L$4+O31*O$4+Q31*Q$4+M31*$M$4+N31*$N$4+R31*$R$4+S31*$S$4+T31*$T$4+U31*$U$4+P31*$P$4)/1000</f>
        <v>0.63600000000000001</v>
      </c>
      <c r="AN31" s="37">
        <f>AM31*D31</f>
        <v>25.44</v>
      </c>
      <c r="AO31" s="61">
        <v>4</v>
      </c>
      <c r="AP31" s="61">
        <v>4</v>
      </c>
      <c r="AQ31" s="61"/>
      <c r="AR31" s="61">
        <v>1</v>
      </c>
      <c r="AS31" s="36">
        <f>AN31*VLOOKUP(AO31&amp;"-"&amp;AR31&amp;"F",tabla,2,FALSE)</f>
        <v>0.15057147360000001</v>
      </c>
      <c r="AT31" s="115">
        <f>AS31+AT29</f>
        <v>2.6810298657000002</v>
      </c>
      <c r="AU31" s="111">
        <v>1</v>
      </c>
      <c r="AV31" s="35">
        <v>1</v>
      </c>
      <c r="AW31" s="35"/>
      <c r="AX31" s="61"/>
      <c r="AY31" s="61"/>
      <c r="AZ31" s="61">
        <f>+AU31*D31</f>
        <v>40</v>
      </c>
      <c r="BA31" s="61">
        <f>+AV31*D31</f>
        <v>40</v>
      </c>
      <c r="BB31" s="61">
        <f>+AW31*D31</f>
        <v>0</v>
      </c>
      <c r="BC31" s="61">
        <f>+BB31+BB31</f>
        <v>0</v>
      </c>
      <c r="BD31" s="61"/>
      <c r="BE31" s="61"/>
      <c r="BF31" s="61"/>
      <c r="BG31" s="61"/>
      <c r="BH31" s="61"/>
      <c r="BI31" s="61"/>
      <c r="BJ31" s="61"/>
      <c r="BK31" s="61"/>
      <c r="BL31" s="61"/>
    </row>
    <row r="32" spans="2:64" x14ac:dyDescent="0.2"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5"/>
      <c r="AP32" s="166"/>
      <c r="AQ32" s="166"/>
      <c r="AR32" s="166"/>
      <c r="AS32" s="166"/>
      <c r="AT32" s="167"/>
      <c r="AU32" s="174"/>
      <c r="AV32" s="174"/>
      <c r="AW32" s="174"/>
      <c r="AX32" s="35"/>
      <c r="AY32" s="35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</row>
    <row r="33" spans="2:64" x14ac:dyDescent="0.2">
      <c r="B33" s="114">
        <v>13</v>
      </c>
      <c r="C33" s="61">
        <v>14</v>
      </c>
      <c r="D33" s="37">
        <v>40</v>
      </c>
      <c r="E33" s="61"/>
      <c r="F33" s="61"/>
      <c r="G33" s="35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>
        <v>1</v>
      </c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38">
        <f>(E33*E$4+F33*F$4+G33*G$4+H33*$H$4+I33*I$4+J33*J$4+K33*K$4+L33*L$4+O33*O$4+Q33*Q$4+M33*$M$4+N33*$N$4+R33*$R$4+S33*$S$4+T33*$T$4+U33*$U$4+P33*$P$4)/1000</f>
        <v>0.47699999999999998</v>
      </c>
      <c r="AN33" s="37">
        <f>AM33*D33</f>
        <v>19.079999999999998</v>
      </c>
      <c r="AO33" s="61">
        <v>4</v>
      </c>
      <c r="AP33" s="61">
        <v>4</v>
      </c>
      <c r="AQ33" s="61"/>
      <c r="AR33" s="61">
        <v>1</v>
      </c>
      <c r="AS33" s="36">
        <f>AN33*VLOOKUP(AO33&amp;"-"&amp;AR33&amp;"F",tabla,2,FALSE)</f>
        <v>0.11292860519999999</v>
      </c>
      <c r="AT33" s="115">
        <f>AS33+AT31</f>
        <v>2.7939584709000003</v>
      </c>
      <c r="AU33" s="111">
        <v>1</v>
      </c>
      <c r="AV33" s="35">
        <v>1</v>
      </c>
      <c r="AW33" s="35"/>
      <c r="AX33" s="61"/>
      <c r="AY33" s="61"/>
      <c r="AZ33" s="61">
        <f>+AU33*D33</f>
        <v>40</v>
      </c>
      <c r="BA33" s="61">
        <f>+AV33*D33</f>
        <v>40</v>
      </c>
      <c r="BB33" s="61">
        <f>+AW33*D33</f>
        <v>0</v>
      </c>
      <c r="BC33" s="61">
        <f>+BB33+BB33</f>
        <v>0</v>
      </c>
      <c r="BD33" s="61"/>
      <c r="BE33" s="61"/>
      <c r="BF33" s="61"/>
      <c r="BG33" s="61"/>
      <c r="BH33" s="61"/>
      <c r="BI33" s="61"/>
      <c r="BJ33" s="61"/>
      <c r="BK33" s="61"/>
      <c r="BL33" s="61"/>
    </row>
    <row r="34" spans="2:64" x14ac:dyDescent="0.2"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4"/>
      <c r="AO34" s="165"/>
      <c r="AP34" s="166"/>
      <c r="AQ34" s="166"/>
      <c r="AR34" s="166"/>
      <c r="AS34" s="166"/>
      <c r="AT34" s="167"/>
      <c r="AU34" s="107"/>
      <c r="AV34" s="107"/>
      <c r="AW34" s="96"/>
      <c r="AX34" s="35"/>
      <c r="AY34" s="35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2:64" x14ac:dyDescent="0.2">
      <c r="B35" s="114">
        <v>14</v>
      </c>
      <c r="C35" s="61">
        <v>15</v>
      </c>
      <c r="D35" s="37">
        <v>40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>
        <v>1</v>
      </c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38">
        <f>(E35*E$4+F35*F$4+G35*G$4+H35*$H$4+I35*I$4+J35*J$4+K35*K$4+L35*L$4+O35*O$4+Q35*Q$4+M35*$M$4+N35*$N$4+R35*$R$4+S35*$S$4+T35*$T$4+U35*$U$4+P35*$P$4)/1000</f>
        <v>0.318</v>
      </c>
      <c r="AN35" s="37">
        <f>AM35*D35</f>
        <v>12.72</v>
      </c>
      <c r="AO35" s="61">
        <v>4</v>
      </c>
      <c r="AP35" s="61">
        <v>4</v>
      </c>
      <c r="AQ35" s="61"/>
      <c r="AR35" s="61">
        <v>1</v>
      </c>
      <c r="AS35" s="36">
        <f>AN35*VLOOKUP(AO35&amp;"-"&amp;AR35&amp;"F",tabla,2,FALSE)</f>
        <v>7.5285736800000003E-2</v>
      </c>
      <c r="AT35" s="115">
        <f>AS35+AT33</f>
        <v>2.8692442077000004</v>
      </c>
      <c r="AU35" s="111">
        <v>1</v>
      </c>
      <c r="AV35" s="35">
        <v>1</v>
      </c>
      <c r="AW35" s="35"/>
      <c r="AX35" s="35"/>
      <c r="AY35" s="35"/>
      <c r="AZ35" s="61">
        <f>+AU35*D35</f>
        <v>40</v>
      </c>
      <c r="BA35" s="61">
        <f>+AV35*D35</f>
        <v>40</v>
      </c>
      <c r="BB35" s="61">
        <f>+AW35*D35</f>
        <v>0</v>
      </c>
      <c r="BC35" s="61">
        <f>+BB35+BB35</f>
        <v>0</v>
      </c>
      <c r="BD35" s="61"/>
      <c r="BE35" s="61"/>
      <c r="BF35" s="61"/>
      <c r="BG35" s="61"/>
      <c r="BH35" s="61"/>
      <c r="BI35" s="61"/>
      <c r="BJ35" s="61"/>
      <c r="BK35" s="61"/>
      <c r="BL35" s="61"/>
    </row>
    <row r="36" spans="2:64" x14ac:dyDescent="0.2"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4"/>
      <c r="AO36" s="165"/>
      <c r="AP36" s="166"/>
      <c r="AQ36" s="166"/>
      <c r="AR36" s="166"/>
      <c r="AS36" s="166"/>
      <c r="AT36" s="167"/>
      <c r="AU36" s="107"/>
      <c r="AV36" s="107"/>
      <c r="AW36" s="96"/>
      <c r="AX36" s="35"/>
      <c r="AY36" s="35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</row>
    <row r="37" spans="2:64" x14ac:dyDescent="0.2">
      <c r="B37" s="114">
        <v>15</v>
      </c>
      <c r="C37" s="61">
        <v>16</v>
      </c>
      <c r="D37" s="37">
        <v>40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>
        <v>1</v>
      </c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38">
        <f>(E37*E$4+F37*F$4+G37*G$4+H37*$H$4+I37*I$4+J37*J$4+K37*K$4+L37*L$4+O37*O$4+Q37*Q$4+M37*$M$4+N37*$N$4+R37*$R$4+S37*$S$4+T37*$T$4+U37*$U$4+P37*$P$4)/1000</f>
        <v>0.159</v>
      </c>
      <c r="AN37" s="37">
        <f>AM37*D37</f>
        <v>6.36</v>
      </c>
      <c r="AO37" s="61">
        <v>4</v>
      </c>
      <c r="AP37" s="61">
        <v>4</v>
      </c>
      <c r="AQ37" s="61"/>
      <c r="AR37" s="61">
        <v>1</v>
      </c>
      <c r="AS37" s="36">
        <f>AN37*VLOOKUP(AO37&amp;"-"&amp;AR37&amp;"F",tabla,2,FALSE)</f>
        <v>3.7642868400000001E-2</v>
      </c>
      <c r="AT37" s="128">
        <f>AS37+AT35</f>
        <v>2.9068870761000003</v>
      </c>
      <c r="AU37" s="111">
        <v>1</v>
      </c>
      <c r="AV37" s="35">
        <v>1</v>
      </c>
      <c r="AW37" s="35"/>
      <c r="AX37" s="35"/>
      <c r="AY37" s="35"/>
      <c r="AZ37" s="61">
        <f>+AU37*D37</f>
        <v>40</v>
      </c>
      <c r="BA37" s="61">
        <f>+AV37*D37</f>
        <v>40</v>
      </c>
      <c r="BB37" s="61">
        <f>+AW37*D37</f>
        <v>0</v>
      </c>
      <c r="BC37" s="61">
        <f>+BB37+BB37</f>
        <v>0</v>
      </c>
      <c r="BD37" s="61"/>
      <c r="BE37" s="61"/>
      <c r="BF37" s="61"/>
      <c r="BG37" s="61"/>
      <c r="BH37" s="61"/>
      <c r="BI37" s="61"/>
      <c r="BJ37" s="61"/>
      <c r="BK37" s="61"/>
      <c r="BL37" s="61"/>
    </row>
    <row r="38" spans="2:64" hidden="1" x14ac:dyDescent="0.2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4"/>
      <c r="AO38" s="165"/>
      <c r="AP38" s="166"/>
      <c r="AQ38" s="166"/>
      <c r="AR38" s="166"/>
      <c r="AS38" s="166"/>
      <c r="AT38" s="167"/>
      <c r="AU38" s="166"/>
      <c r="AV38" s="166"/>
      <c r="AW38" s="188"/>
      <c r="AX38" s="35"/>
      <c r="AY38" s="35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</row>
    <row r="39" spans="2:64" hidden="1" x14ac:dyDescent="0.2">
      <c r="B39" s="114"/>
      <c r="C39" s="61"/>
      <c r="D39" s="37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>
        <v>1</v>
      </c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38">
        <f>(E39*E$4+F39*F$4+G39*G$4+H39*$H$4+I39*I$4+J39*J$4+K39*K$4+L39*L$4+O39*O$4+Q39*Q$4+M39*$M$4+N39*$N$4+R39*$R$4+S39*$S$4+T39*$T$4+U39*$U$4+P39*$P$4)/1000</f>
        <v>0</v>
      </c>
      <c r="AN39" s="37">
        <f>AM39*D39</f>
        <v>0</v>
      </c>
      <c r="AO39" s="61">
        <v>4</v>
      </c>
      <c r="AP39" s="61">
        <v>4</v>
      </c>
      <c r="AQ39" s="61"/>
      <c r="AR39" s="61">
        <v>1</v>
      </c>
      <c r="AS39" s="36">
        <f>AN39*VLOOKUP(AO39&amp;"-"&amp;AR39&amp;"F",tabla,2,FALSE)</f>
        <v>0</v>
      </c>
      <c r="AT39" s="116">
        <f>AS39+AT37</f>
        <v>2.9068870761000003</v>
      </c>
      <c r="AU39" s="111">
        <v>1</v>
      </c>
      <c r="AV39" s="35">
        <v>1</v>
      </c>
      <c r="AW39" s="35"/>
      <c r="AX39" s="35"/>
      <c r="AY39" s="35"/>
      <c r="AZ39" s="61">
        <f>+AU39*D39</f>
        <v>0</v>
      </c>
      <c r="BA39" s="61">
        <f>+AV39*D39</f>
        <v>0</v>
      </c>
      <c r="BB39" s="61">
        <f>+AW39*D39</f>
        <v>0</v>
      </c>
      <c r="BC39" s="61">
        <f>+BB39+BB39</f>
        <v>0</v>
      </c>
      <c r="BD39" s="61"/>
      <c r="BE39" s="61"/>
      <c r="BF39" s="61"/>
      <c r="BG39" s="61"/>
      <c r="BH39" s="61"/>
      <c r="BI39" s="61"/>
      <c r="BJ39" s="61"/>
      <c r="BK39" s="61"/>
      <c r="BL39" s="61"/>
    </row>
    <row r="40" spans="2:64" hidden="1" x14ac:dyDescent="0.2"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4"/>
      <c r="AO40" s="165"/>
      <c r="AP40" s="166"/>
      <c r="AQ40" s="166"/>
      <c r="AR40" s="166"/>
      <c r="AS40" s="166"/>
      <c r="AT40" s="167"/>
      <c r="AU40" s="107"/>
      <c r="AV40" s="107"/>
      <c r="AW40" s="96"/>
      <c r="AX40" s="35"/>
      <c r="AY40" s="35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</row>
    <row r="41" spans="2:64" hidden="1" x14ac:dyDescent="0.2">
      <c r="B41" s="114"/>
      <c r="C41" s="61"/>
      <c r="D41" s="37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>
        <v>1</v>
      </c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38">
        <f>(E41*E$4+F41*F$4+G41*G$4+H41*$H$4+I41*I$4+J41*J$4+K41*K$4+L41*L$4+O41*O$4+Q41*Q$4+M41*$M$4+N41*$N$4+R41*$R$4+S41*$S$4+T41*$T$4+U41*$U$4+P41*$P$4+V41*V4)/1000</f>
        <v>0</v>
      </c>
      <c r="AN41" s="37">
        <f>AM41*D41</f>
        <v>0</v>
      </c>
      <c r="AO41" s="61">
        <v>4</v>
      </c>
      <c r="AP41" s="61">
        <v>4</v>
      </c>
      <c r="AQ41" s="61"/>
      <c r="AR41" s="61">
        <v>1</v>
      </c>
      <c r="AS41" s="36">
        <f>AN41*VLOOKUP(AO41&amp;"-"&amp;AR41&amp;"F",tabla,2,FALSE)</f>
        <v>0</v>
      </c>
      <c r="AT41" s="115">
        <f>AS41+AT39</f>
        <v>2.9068870761000003</v>
      </c>
      <c r="AU41" s="111">
        <v>1</v>
      </c>
      <c r="AV41" s="35">
        <v>1</v>
      </c>
      <c r="AW41" s="35"/>
      <c r="AX41" s="35"/>
      <c r="AY41" s="35"/>
      <c r="AZ41" s="61">
        <f>+AU41*D41</f>
        <v>0</v>
      </c>
      <c r="BA41" s="61">
        <f>+AV41*D41</f>
        <v>0</v>
      </c>
      <c r="BB41" s="61">
        <f>+AW41*D41</f>
        <v>0</v>
      </c>
      <c r="BC41" s="61">
        <f>+BB41+BB41</f>
        <v>0</v>
      </c>
      <c r="BD41" s="61"/>
      <c r="BE41" s="61"/>
      <c r="BF41" s="61"/>
      <c r="BG41" s="61"/>
      <c r="BH41" s="61"/>
      <c r="BI41" s="61"/>
      <c r="BJ41" s="61"/>
      <c r="BK41" s="61"/>
      <c r="BL41" s="61"/>
    </row>
    <row r="42" spans="2:64" hidden="1" x14ac:dyDescent="0.2"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5"/>
      <c r="AP42" s="166"/>
      <c r="AQ42" s="166"/>
      <c r="AR42" s="166"/>
      <c r="AS42" s="166"/>
      <c r="AT42" s="167"/>
      <c r="AU42" s="174"/>
      <c r="AV42" s="174"/>
      <c r="AW42" s="174"/>
      <c r="AX42" s="35"/>
      <c r="AY42" s="35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</row>
    <row r="43" spans="2:64" hidden="1" x14ac:dyDescent="0.2">
      <c r="B43" s="114"/>
      <c r="C43" s="61"/>
      <c r="D43" s="37"/>
      <c r="E43" s="61"/>
      <c r="F43" s="61"/>
      <c r="G43" s="35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>
        <v>1</v>
      </c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38">
        <f>(E43*E$4+F43*F$4+G43*G$4+H43*$H$4+I43*I$4+J43*J$4+K43*K$4+L43*L$4+O43*O$4+Q43*Q$4+M43*$M$4+N43*$N$4+R43*$R$4+S43*$S$4+T43*$T$4+U43*$U$4+P43*$P$4+W43*W4)/1000</f>
        <v>0</v>
      </c>
      <c r="AN43" s="37">
        <f>AM43*D43</f>
        <v>0</v>
      </c>
      <c r="AO43" s="61">
        <v>4</v>
      </c>
      <c r="AP43" s="61">
        <v>4</v>
      </c>
      <c r="AQ43" s="61"/>
      <c r="AR43" s="61">
        <v>1</v>
      </c>
      <c r="AS43" s="36">
        <f>AN43*VLOOKUP(AO43&amp;"-"&amp;AR43&amp;"F",tabla,2,FALSE)</f>
        <v>0</v>
      </c>
      <c r="AT43" s="115">
        <f>AS43+AT41</f>
        <v>2.9068870761000003</v>
      </c>
      <c r="AU43" s="111">
        <v>1</v>
      </c>
      <c r="AV43" s="35">
        <v>1</v>
      </c>
      <c r="AW43" s="35"/>
      <c r="AX43" s="61"/>
      <c r="AY43" s="61"/>
      <c r="AZ43" s="61">
        <f>+AU43*D43</f>
        <v>0</v>
      </c>
      <c r="BA43" s="61">
        <f>+AV43*D43</f>
        <v>0</v>
      </c>
      <c r="BB43" s="61">
        <f>+AW43*D43</f>
        <v>0</v>
      </c>
      <c r="BC43" s="61">
        <f>+BB43+BB43</f>
        <v>0</v>
      </c>
      <c r="BD43" s="61"/>
      <c r="BE43" s="61"/>
      <c r="BF43" s="61"/>
      <c r="BG43" s="61"/>
      <c r="BH43" s="61"/>
      <c r="BI43" s="61"/>
      <c r="BJ43" s="61"/>
      <c r="BK43" s="61"/>
      <c r="BL43" s="61"/>
    </row>
    <row r="44" spans="2:64" hidden="1" x14ac:dyDescent="0.2"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4"/>
      <c r="AO44" s="165"/>
      <c r="AP44" s="166"/>
      <c r="AQ44" s="166"/>
      <c r="AR44" s="166"/>
      <c r="AS44" s="166"/>
      <c r="AT44" s="167"/>
      <c r="AU44" s="107"/>
      <c r="AV44" s="107"/>
      <c r="AW44" s="96"/>
      <c r="AX44" s="35"/>
      <c r="AY44" s="35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</row>
    <row r="45" spans="2:64" hidden="1" x14ac:dyDescent="0.2">
      <c r="B45" s="114"/>
      <c r="C45" s="61"/>
      <c r="D45" s="37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>
        <v>1</v>
      </c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38">
        <f>(E45*E$4+F45*F$4+G45*G$4+H45*$H$4+I45*I$4+J45*J$4+K45*K$4+L45*L$4+O45*O$4+Q45*Q$4+M45*$M$4+N45*$N$4+R45*$R$4+S45*$S$4+T45*$T$4+U45*$U$4+P45*$P$4+X45*X4)/1000</f>
        <v>0</v>
      </c>
      <c r="AN45" s="37">
        <f>AM45*D45</f>
        <v>0</v>
      </c>
      <c r="AO45" s="61">
        <v>4</v>
      </c>
      <c r="AP45" s="61">
        <v>4</v>
      </c>
      <c r="AQ45" s="61"/>
      <c r="AR45" s="61">
        <v>1</v>
      </c>
      <c r="AS45" s="36">
        <f>AN45*VLOOKUP(AO45&amp;"-"&amp;AR45&amp;"F",tabla,2,FALSE)</f>
        <v>0</v>
      </c>
      <c r="AT45" s="115">
        <f>AS45+AT43</f>
        <v>2.9068870761000003</v>
      </c>
      <c r="AU45" s="111">
        <v>1</v>
      </c>
      <c r="AV45" s="35">
        <v>1</v>
      </c>
      <c r="AW45" s="35"/>
      <c r="AX45" s="35"/>
      <c r="AY45" s="35"/>
      <c r="AZ45" s="61">
        <f>+AU45*D45</f>
        <v>0</v>
      </c>
      <c r="BA45" s="61">
        <f>+AV45*D45</f>
        <v>0</v>
      </c>
      <c r="BB45" s="61">
        <f>+AW45*D45</f>
        <v>0</v>
      </c>
      <c r="BC45" s="61">
        <f>+BB45+BB45</f>
        <v>0</v>
      </c>
      <c r="BD45" s="61"/>
      <c r="BE45" s="61"/>
      <c r="BF45" s="61"/>
      <c r="BG45" s="61"/>
      <c r="BH45" s="61"/>
      <c r="BI45" s="61"/>
      <c r="BJ45" s="61"/>
      <c r="BK45" s="61"/>
      <c r="BL45" s="61"/>
    </row>
    <row r="46" spans="2:64" hidden="1" x14ac:dyDescent="0.2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4"/>
      <c r="AO46" s="165"/>
      <c r="AP46" s="166"/>
      <c r="AQ46" s="166"/>
      <c r="AR46" s="166"/>
      <c r="AS46" s="166"/>
      <c r="AT46" s="167"/>
      <c r="AU46" s="107"/>
      <c r="AV46" s="107"/>
      <c r="AW46" s="96"/>
      <c r="AX46" s="35"/>
      <c r="AY46" s="35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</row>
    <row r="47" spans="2:64" hidden="1" x14ac:dyDescent="0.2">
      <c r="B47" s="114"/>
      <c r="C47" s="61"/>
      <c r="D47" s="37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>
        <v>1</v>
      </c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38">
        <f>(E47*E$4+F47*F$4+G47*G$4+H47*$H$4+I47*I$4+J47*J$4+K47*K$4+L47*L$4+O47*O$4+Q47*Q$4+M47*$M$4+N47*$N$4+R47*$R$4+S47*$S$4+T47*$T$4+U47*$U$4+P47*$P$4+Y47*Y4)/1000</f>
        <v>0</v>
      </c>
      <c r="AN47" s="37">
        <f>AM47*D47</f>
        <v>0</v>
      </c>
      <c r="AO47" s="61">
        <v>4</v>
      </c>
      <c r="AP47" s="61">
        <v>4</v>
      </c>
      <c r="AQ47" s="61"/>
      <c r="AR47" s="61">
        <v>1</v>
      </c>
      <c r="AS47" s="36">
        <f>AN47*VLOOKUP(AO47&amp;"-"&amp;AR47&amp;"F",tabla,2,FALSE)</f>
        <v>0</v>
      </c>
      <c r="AT47" s="115">
        <f>AS47+AT43</f>
        <v>2.9068870761000003</v>
      </c>
      <c r="AU47" s="111">
        <v>1</v>
      </c>
      <c r="AV47" s="35">
        <v>1</v>
      </c>
      <c r="AW47" s="35"/>
      <c r="AX47" s="35"/>
      <c r="AY47" s="35"/>
      <c r="AZ47" s="61">
        <f>+AU47*D47</f>
        <v>0</v>
      </c>
      <c r="BA47" s="61">
        <f>+AV47*D47</f>
        <v>0</v>
      </c>
      <c r="BB47" s="61">
        <f>+AW47*D47</f>
        <v>0</v>
      </c>
      <c r="BC47" s="61">
        <f>+BB47+BB47</f>
        <v>0</v>
      </c>
      <c r="BD47" s="61"/>
      <c r="BE47" s="61"/>
      <c r="BF47" s="61"/>
      <c r="BG47" s="61"/>
      <c r="BH47" s="61"/>
      <c r="BI47" s="61"/>
      <c r="BJ47" s="61"/>
      <c r="BK47" s="61"/>
      <c r="BL47" s="61"/>
    </row>
    <row r="48" spans="2:64" hidden="1" x14ac:dyDescent="0.2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4"/>
      <c r="AO48" s="165"/>
      <c r="AP48" s="166"/>
      <c r="AQ48" s="166"/>
      <c r="AR48" s="166"/>
      <c r="AS48" s="166"/>
      <c r="AT48" s="167"/>
      <c r="AU48" s="166"/>
      <c r="AV48" s="166"/>
      <c r="AW48" s="188"/>
      <c r="AX48" s="35"/>
      <c r="AY48" s="35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</row>
    <row r="49" spans="2:64" hidden="1" x14ac:dyDescent="0.2">
      <c r="B49" s="114"/>
      <c r="C49" s="61"/>
      <c r="D49" s="37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>
        <v>1</v>
      </c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38">
        <f>(E49*E$4+F49*F$4+G49*G$4+H49*$H$4+I49*I$4+J49*J$4+K49*K$4+L49*L$4+O49*O$4+Q49*Q$4+M49*$M$4+N49*$N$4+R49*$R$4+S49*$S$4+T49*$T$4+U49*$U$4+P49*$P$4+Z49*Z4)/1000</f>
        <v>0</v>
      </c>
      <c r="AN49" s="37">
        <f>AM49*D49</f>
        <v>0</v>
      </c>
      <c r="AO49" s="61">
        <v>4</v>
      </c>
      <c r="AP49" s="61">
        <v>4</v>
      </c>
      <c r="AQ49" s="61"/>
      <c r="AR49" s="61">
        <v>1</v>
      </c>
      <c r="AS49" s="36">
        <f>AN49*VLOOKUP(AO49&amp;"-"&amp;AR49&amp;"F",tabla,2,FALSE)</f>
        <v>0</v>
      </c>
      <c r="AT49" s="115">
        <f>AS49+AT47</f>
        <v>2.9068870761000003</v>
      </c>
      <c r="AU49" s="111">
        <v>1</v>
      </c>
      <c r="AV49" s="35">
        <v>1</v>
      </c>
      <c r="AW49" s="35"/>
      <c r="AX49" s="35"/>
      <c r="AY49" s="35"/>
      <c r="AZ49" s="61">
        <f>+AU49*D49</f>
        <v>0</v>
      </c>
      <c r="BA49" s="61">
        <f>+AV49*D49</f>
        <v>0</v>
      </c>
      <c r="BB49" s="61">
        <f>+AW49*D49</f>
        <v>0</v>
      </c>
      <c r="BC49" s="61">
        <f>+BB49+BB49</f>
        <v>0</v>
      </c>
      <c r="BD49" s="61"/>
      <c r="BE49" s="61"/>
      <c r="BF49" s="61"/>
      <c r="BG49" s="61"/>
      <c r="BH49" s="61"/>
      <c r="BI49" s="61"/>
      <c r="BJ49" s="61"/>
      <c r="BK49" s="61"/>
      <c r="BL49" s="61"/>
    </row>
    <row r="50" spans="2:64" hidden="1" x14ac:dyDescent="0.2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4"/>
      <c r="AO50" s="165"/>
      <c r="AP50" s="166"/>
      <c r="AQ50" s="166"/>
      <c r="AR50" s="166"/>
      <c r="AS50" s="166"/>
      <c r="AT50" s="167"/>
      <c r="AU50" s="107"/>
      <c r="AV50" s="107"/>
      <c r="AW50" s="96"/>
      <c r="AX50" s="35"/>
      <c r="AY50" s="35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</row>
    <row r="51" spans="2:64" hidden="1" x14ac:dyDescent="0.2">
      <c r="B51" s="114"/>
      <c r="C51" s="61"/>
      <c r="D51" s="37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>
        <v>1</v>
      </c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38">
        <f>(E51*E$4+F51*F$4+G51*G$4+H51*$H$4+I51*I$4+J51*J$4+K51*K$4+L51*L$4+O51*O$4+Q51*Q$4+M51*$M$4+N51*$N$4+R51*$R$4+S51*$S$4+T51*$T$4+U51*$U$4+P51*$P$4+AA51*AA4)/1000</f>
        <v>0</v>
      </c>
      <c r="AN51" s="37">
        <f>AM51*D51</f>
        <v>0</v>
      </c>
      <c r="AO51" s="61">
        <v>4</v>
      </c>
      <c r="AP51" s="61">
        <v>4</v>
      </c>
      <c r="AQ51" s="61"/>
      <c r="AR51" s="61">
        <v>1</v>
      </c>
      <c r="AS51" s="36">
        <f>AN51*VLOOKUP(AO51&amp;"-"&amp;AR51&amp;"F",tabla,2,FALSE)</f>
        <v>0</v>
      </c>
      <c r="AT51" s="115">
        <f>AS51+AT41</f>
        <v>2.9068870761000003</v>
      </c>
      <c r="AU51" s="111">
        <v>1</v>
      </c>
      <c r="AV51" s="35">
        <v>1</v>
      </c>
      <c r="AW51" s="35"/>
      <c r="AX51" s="35"/>
      <c r="AY51" s="35"/>
      <c r="AZ51" s="61">
        <f>+AU51*D51</f>
        <v>0</v>
      </c>
      <c r="BA51" s="61">
        <f>+AV51*D51</f>
        <v>0</v>
      </c>
      <c r="BB51" s="61">
        <f>+AW51*D51</f>
        <v>0</v>
      </c>
      <c r="BC51" s="61">
        <f>+BB51+BB51</f>
        <v>0</v>
      </c>
      <c r="BD51" s="61"/>
      <c r="BE51" s="61"/>
      <c r="BF51" s="61"/>
      <c r="BG51" s="61"/>
      <c r="BH51" s="61"/>
      <c r="BI51" s="61"/>
      <c r="BJ51" s="61"/>
      <c r="BK51" s="61"/>
      <c r="BL51" s="61"/>
    </row>
    <row r="52" spans="2:64" hidden="1" x14ac:dyDescent="0.2"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5"/>
      <c r="AP52" s="166"/>
      <c r="AQ52" s="166"/>
      <c r="AR52" s="166"/>
      <c r="AS52" s="166"/>
      <c r="AT52" s="167"/>
      <c r="AU52" s="174"/>
      <c r="AV52" s="174"/>
      <c r="AW52" s="174"/>
      <c r="AX52" s="35"/>
      <c r="AY52" s="35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2:64" hidden="1" x14ac:dyDescent="0.2">
      <c r="B53" s="114"/>
      <c r="C53" s="61"/>
      <c r="D53" s="37"/>
      <c r="E53" s="61"/>
      <c r="F53" s="61"/>
      <c r="G53" s="35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>
        <v>1</v>
      </c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38">
        <f>(E53*E$4+F53*F$4+G53*G$4+H53*$H$4+I53*I$4+J53*J$4+K53*K$4+L53*L$4+O53*O$4+Q53*Q$4+M53*$M$4+N53*$N$4+R53*$R$4+S53*$S$4+T53*$T$4+U53*$U$4+P53*$P$4+AB53*AB4)/1000</f>
        <v>0</v>
      </c>
      <c r="AN53" s="37">
        <f>AM53*D53</f>
        <v>0</v>
      </c>
      <c r="AO53" s="61">
        <v>4</v>
      </c>
      <c r="AP53" s="61">
        <v>4</v>
      </c>
      <c r="AQ53" s="61"/>
      <c r="AR53" s="61">
        <v>1</v>
      </c>
      <c r="AS53" s="36">
        <f>AN53*VLOOKUP(AO53&amp;"-"&amp;AR53&amp;"F",tabla,2,FALSE)</f>
        <v>0</v>
      </c>
      <c r="AT53" s="115">
        <f>AS53+AT51</f>
        <v>2.9068870761000003</v>
      </c>
      <c r="AU53" s="111">
        <v>1</v>
      </c>
      <c r="AV53" s="35">
        <v>1</v>
      </c>
      <c r="AW53" s="35"/>
      <c r="AX53" s="61"/>
      <c r="AY53" s="61"/>
      <c r="AZ53" s="61">
        <f>+AU53*D53</f>
        <v>0</v>
      </c>
      <c r="BA53" s="61">
        <f>+AV53*D53</f>
        <v>0</v>
      </c>
      <c r="BB53" s="61">
        <f>+AW53*D53</f>
        <v>0</v>
      </c>
      <c r="BC53" s="61">
        <f>+BB53+BB53</f>
        <v>0</v>
      </c>
      <c r="BD53" s="61"/>
      <c r="BE53" s="61"/>
      <c r="BF53" s="61"/>
      <c r="BG53" s="61"/>
      <c r="BH53" s="61"/>
      <c r="BI53" s="61"/>
      <c r="BJ53" s="61"/>
      <c r="BK53" s="61"/>
      <c r="BL53" s="61"/>
    </row>
    <row r="54" spans="2:64" hidden="1" x14ac:dyDescent="0.2"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4"/>
      <c r="AO54" s="165"/>
      <c r="AP54" s="166"/>
      <c r="AQ54" s="166"/>
      <c r="AR54" s="166"/>
      <c r="AS54" s="166"/>
      <c r="AT54" s="167"/>
      <c r="AU54" s="107"/>
      <c r="AV54" s="107"/>
      <c r="AW54" s="96"/>
      <c r="AX54" s="35"/>
      <c r="AY54" s="35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2:64" hidden="1" x14ac:dyDescent="0.2">
      <c r="B55" s="114">
        <v>24</v>
      </c>
      <c r="C55" s="61">
        <f>C53+1</f>
        <v>1</v>
      </c>
      <c r="D55" s="37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>
        <v>1</v>
      </c>
      <c r="AD55" s="61"/>
      <c r="AE55" s="61"/>
      <c r="AF55" s="61"/>
      <c r="AG55" s="61"/>
      <c r="AH55" s="61"/>
      <c r="AI55" s="61"/>
      <c r="AJ55" s="61"/>
      <c r="AK55" s="61"/>
      <c r="AL55" s="61"/>
      <c r="AM55" s="38">
        <f>(E55*E$4+F55*F$4+G55*G$4+H55*$H$4+I55*I$4+J55*J$4+K55*K$4+L55*L$4+O55*O$4+Q55*Q$4+M55*$M$4+N55*$N$4+R55*$R$4+S55*$S$4+T55*$T$4+U55*$U$4+P55*$P$4+AC55*AC4)/1000</f>
        <v>0</v>
      </c>
      <c r="AN55" s="37">
        <f>AM55*D55</f>
        <v>0</v>
      </c>
      <c r="AO55" s="61">
        <v>4</v>
      </c>
      <c r="AP55" s="61">
        <v>4</v>
      </c>
      <c r="AQ55" s="61"/>
      <c r="AR55" s="61">
        <v>1</v>
      </c>
      <c r="AS55" s="36">
        <f>AN55*VLOOKUP(AO55&amp;"-"&amp;AR55&amp;"F",tabla,2,FALSE)</f>
        <v>0</v>
      </c>
      <c r="AT55" s="115">
        <f>AS55+AT53</f>
        <v>2.9068870761000003</v>
      </c>
      <c r="AU55" s="111">
        <v>1</v>
      </c>
      <c r="AV55" s="35">
        <v>1</v>
      </c>
      <c r="AW55" s="35"/>
      <c r="AX55" s="35"/>
      <c r="AY55" s="35"/>
      <c r="AZ55" s="61">
        <f>+AU55*D55</f>
        <v>0</v>
      </c>
      <c r="BA55" s="61">
        <f>+AV55*D55</f>
        <v>0</v>
      </c>
      <c r="BB55" s="61">
        <f>+AW55*D55</f>
        <v>0</v>
      </c>
      <c r="BC55" s="61">
        <f>+BB55+BB55</f>
        <v>0</v>
      </c>
      <c r="BD55" s="61"/>
      <c r="BE55" s="61"/>
      <c r="BF55" s="61"/>
      <c r="BG55" s="61"/>
      <c r="BH55" s="61"/>
      <c r="BI55" s="61"/>
      <c r="BJ55" s="61"/>
      <c r="BK55" s="61"/>
      <c r="BL55" s="61"/>
    </row>
    <row r="56" spans="2:64" hidden="1" x14ac:dyDescent="0.2"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4"/>
      <c r="AO56" s="165"/>
      <c r="AP56" s="166"/>
      <c r="AQ56" s="166"/>
      <c r="AR56" s="166"/>
      <c r="AS56" s="166"/>
      <c r="AT56" s="167"/>
      <c r="AU56" s="107"/>
      <c r="AV56" s="107"/>
      <c r="AW56" s="96"/>
      <c r="AX56" s="35"/>
      <c r="AY56" s="35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2:64" hidden="1" x14ac:dyDescent="0.2">
      <c r="B57" s="114">
        <v>25</v>
      </c>
      <c r="C57" s="61">
        <f>C55+1</f>
        <v>2</v>
      </c>
      <c r="D57" s="37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>
        <v>1</v>
      </c>
      <c r="AE57" s="61"/>
      <c r="AF57" s="61"/>
      <c r="AG57" s="61"/>
      <c r="AH57" s="61"/>
      <c r="AI57" s="61"/>
      <c r="AJ57" s="61"/>
      <c r="AK57" s="61"/>
      <c r="AL57" s="61"/>
      <c r="AM57" s="38">
        <f>(E57*E$4+F57*F$4+G57*G$4+H57*$H$4+I57*I$4+J57*J$4+K57*K$4+L57*L$4+O57*O$4+Q57*Q$4+M57*$M$4+N57*$N$4+R57*$R$4+S57*$S$4+T57*$T$4+U57*$U$4+P57*$P$4+AD57*AD4)/1000</f>
        <v>0</v>
      </c>
      <c r="AN57" s="37">
        <f>AM57*D57</f>
        <v>0</v>
      </c>
      <c r="AO57" s="61">
        <v>4</v>
      </c>
      <c r="AP57" s="61">
        <v>4</v>
      </c>
      <c r="AQ57" s="61"/>
      <c r="AR57" s="61">
        <v>1</v>
      </c>
      <c r="AS57" s="36">
        <f>AN57*VLOOKUP(AO57&amp;"-"&amp;AR57&amp;"F",tabla,2,FALSE)</f>
        <v>0</v>
      </c>
      <c r="AT57" s="115">
        <f>AS57+AT55</f>
        <v>2.9068870761000003</v>
      </c>
      <c r="AU57" s="111">
        <v>1</v>
      </c>
      <c r="AV57" s="35">
        <v>1</v>
      </c>
      <c r="AW57" s="35"/>
      <c r="AX57" s="35"/>
      <c r="AY57" s="35"/>
      <c r="AZ57" s="61">
        <f>+AU57*D57</f>
        <v>0</v>
      </c>
      <c r="BA57" s="61">
        <f>+AV57*D57</f>
        <v>0</v>
      </c>
      <c r="BB57" s="61">
        <f>+AW57*D57</f>
        <v>0</v>
      </c>
      <c r="BC57" s="61">
        <f>+BB57+BB57</f>
        <v>0</v>
      </c>
      <c r="BD57" s="61"/>
      <c r="BE57" s="61"/>
      <c r="BF57" s="61"/>
      <c r="BG57" s="61"/>
      <c r="BH57" s="61"/>
      <c r="BI57" s="61"/>
      <c r="BJ57" s="61"/>
      <c r="BK57" s="61"/>
      <c r="BL57" s="61"/>
    </row>
    <row r="58" spans="2:64" hidden="1" x14ac:dyDescent="0.2">
      <c r="B58" s="117"/>
      <c r="C58" s="3"/>
      <c r="D58" s="10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104"/>
      <c r="AN58" s="103"/>
      <c r="AO58" s="3"/>
      <c r="AP58" s="3"/>
      <c r="AQ58" s="3"/>
      <c r="AR58" s="3"/>
      <c r="AS58" s="105"/>
      <c r="AT58" s="118"/>
      <c r="AU58" s="106"/>
      <c r="AV58" s="106"/>
      <c r="AW58" s="106"/>
      <c r="AX58" s="106"/>
      <c r="AY58" s="106"/>
      <c r="AZ58" s="3"/>
      <c r="BA58" s="3"/>
      <c r="BB58" s="3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2:64" hidden="1" x14ac:dyDescent="0.2">
      <c r="B59" s="114">
        <v>26</v>
      </c>
      <c r="C59" s="61">
        <f>C57+1</f>
        <v>3</v>
      </c>
      <c r="D59" s="37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>
        <v>1</v>
      </c>
      <c r="AF59" s="61"/>
      <c r="AG59" s="61"/>
      <c r="AH59" s="61"/>
      <c r="AI59" s="61"/>
      <c r="AJ59" s="61"/>
      <c r="AK59" s="61"/>
      <c r="AL59" s="61"/>
      <c r="AM59" s="38">
        <f>(E59*E$4+F59*F$4+G59*G$4+H59*$H$4+I59*I$4+J59*J$4+K59*K$4+L59*L$4+O59*O$4+Q59*Q$4+M59*$M$4+N59*$N$4+R59*$R$4+S59*$S$4+T59*$T$4+U59*$U$4+P59*$P$4+AE59*AE4)/1000</f>
        <v>0</v>
      </c>
      <c r="AN59" s="37">
        <f>AM59*D59</f>
        <v>0</v>
      </c>
      <c r="AO59" s="61">
        <v>4</v>
      </c>
      <c r="AP59" s="61">
        <v>4</v>
      </c>
      <c r="AQ59" s="61"/>
      <c r="AR59" s="61">
        <v>1</v>
      </c>
      <c r="AS59" s="36">
        <f>AN59*VLOOKUP(AO59&amp;"-"&amp;AR59&amp;"F",tabla,2,FALSE)</f>
        <v>0</v>
      </c>
      <c r="AT59" s="115">
        <f>AS59+AT57</f>
        <v>2.9068870761000003</v>
      </c>
      <c r="AU59" s="111">
        <v>1</v>
      </c>
      <c r="AV59" s="35">
        <v>1</v>
      </c>
      <c r="AW59" s="35"/>
      <c r="AX59" s="35"/>
      <c r="AY59" s="35"/>
      <c r="AZ59" s="61">
        <f>+AU59*D59</f>
        <v>0</v>
      </c>
      <c r="BA59" s="61">
        <f>+AV59*D59</f>
        <v>0</v>
      </c>
      <c r="BB59" s="61">
        <f>+AW59*D59</f>
        <v>0</v>
      </c>
      <c r="BC59" s="61">
        <f>+BB59+BB59</f>
        <v>0</v>
      </c>
      <c r="BD59" s="61"/>
      <c r="BE59" s="61"/>
      <c r="BF59" s="61"/>
      <c r="BG59" s="61"/>
      <c r="BH59" s="61"/>
      <c r="BI59" s="61"/>
      <c r="BJ59" s="61"/>
      <c r="BK59" s="61"/>
      <c r="BL59" s="61"/>
    </row>
    <row r="60" spans="2:64" hidden="1" x14ac:dyDescent="0.2"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5"/>
      <c r="AP60" s="166"/>
      <c r="AQ60" s="166"/>
      <c r="AR60" s="166"/>
      <c r="AS60" s="166"/>
      <c r="AT60" s="167"/>
      <c r="AU60" s="174"/>
      <c r="AV60" s="174"/>
      <c r="AW60" s="174"/>
      <c r="AX60" s="35"/>
      <c r="AY60" s="35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2:64" hidden="1" x14ac:dyDescent="0.2">
      <c r="B61" s="114">
        <v>27</v>
      </c>
      <c r="C61" s="61">
        <v>28</v>
      </c>
      <c r="D61" s="37"/>
      <c r="E61" s="61"/>
      <c r="F61" s="61"/>
      <c r="G61" s="35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>
        <v>1</v>
      </c>
      <c r="AG61" s="61"/>
      <c r="AH61" s="61"/>
      <c r="AI61" s="61"/>
      <c r="AJ61" s="61"/>
      <c r="AK61" s="61"/>
      <c r="AL61" s="61"/>
      <c r="AM61" s="38">
        <f>(E61*E$4+F61*F$4+G61*G$4+H61*$H$4+I61*I$4+J61*J$4+K61*K$4+L61*L$4+O61*O$4+Q61*Q$4+M61*$M$4+N61*$N$4+R61*$R$4+S61*$S$4+T61*$T$4+U61*$U$4+P61*$P$4+AF61*AF4)/1000</f>
        <v>0</v>
      </c>
      <c r="AN61" s="37">
        <f>AM61*D61</f>
        <v>0</v>
      </c>
      <c r="AO61" s="61">
        <v>4</v>
      </c>
      <c r="AP61" s="61">
        <v>4</v>
      </c>
      <c r="AQ61" s="61"/>
      <c r="AR61" s="61">
        <v>1</v>
      </c>
      <c r="AS61" s="36">
        <f>AN61*VLOOKUP(AO61&amp;"-"&amp;AR61&amp;"F",tabla,2,FALSE)</f>
        <v>0</v>
      </c>
      <c r="AT61" s="115">
        <f>AS61+AT59</f>
        <v>2.9068870761000003</v>
      </c>
      <c r="AU61" s="111">
        <v>1</v>
      </c>
      <c r="AV61" s="35">
        <v>1</v>
      </c>
      <c r="AW61" s="35"/>
      <c r="AX61" s="61"/>
      <c r="AY61" s="61"/>
      <c r="AZ61" s="61">
        <f>+AU61*D61</f>
        <v>0</v>
      </c>
      <c r="BA61" s="61">
        <f>+AV61*D61</f>
        <v>0</v>
      </c>
      <c r="BB61" s="61">
        <f>+AW61*D61</f>
        <v>0</v>
      </c>
      <c r="BC61" s="61">
        <f>+BB61+BB61</f>
        <v>0</v>
      </c>
      <c r="BD61" s="61"/>
      <c r="BE61" s="61"/>
      <c r="BF61" s="61"/>
      <c r="BG61" s="61"/>
      <c r="BH61" s="61"/>
      <c r="BI61" s="61"/>
      <c r="BJ61" s="61"/>
      <c r="BK61" s="61"/>
      <c r="BL61" s="61"/>
    </row>
    <row r="62" spans="2:64" hidden="1" x14ac:dyDescent="0.2"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4"/>
      <c r="AO62" s="165"/>
      <c r="AP62" s="166"/>
      <c r="AQ62" s="166"/>
      <c r="AR62" s="166"/>
      <c r="AS62" s="166"/>
      <c r="AT62" s="167"/>
      <c r="AU62" s="107"/>
      <c r="AV62" s="107"/>
      <c r="AW62" s="96"/>
      <c r="AX62" s="35"/>
      <c r="AY62" s="35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2:64" hidden="1" x14ac:dyDescent="0.2">
      <c r="B63" s="114">
        <v>28</v>
      </c>
      <c r="C63" s="61">
        <v>29</v>
      </c>
      <c r="D63" s="37"/>
      <c r="E63" s="61"/>
      <c r="F63" s="61"/>
      <c r="G63" s="35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>
        <v>1</v>
      </c>
      <c r="AH63" s="61"/>
      <c r="AI63" s="61"/>
      <c r="AJ63" s="61"/>
      <c r="AK63" s="61"/>
      <c r="AL63" s="61"/>
      <c r="AM63" s="38">
        <f>(E63*E$4+F63*F$4+G63*G$4+H63*$H$4+I63*I$4+J63*J$4+K63*K$4+L63*L$4+O63*O$4+Q63*Q$4+M63*$M$4+N63*$N$4+R63*$R$4+S63*$S$4+T63*$T$4+U63*$U$4+P63*$P$4+AF63*AF6+AG63*AG4)/1000</f>
        <v>0</v>
      </c>
      <c r="AN63" s="37">
        <f>AM63*D63</f>
        <v>0</v>
      </c>
      <c r="AO63" s="61">
        <v>4</v>
      </c>
      <c r="AP63" s="61">
        <v>4</v>
      </c>
      <c r="AQ63" s="61"/>
      <c r="AR63" s="61">
        <v>1</v>
      </c>
      <c r="AS63" s="36">
        <f>AN63*VLOOKUP(AO63&amp;"-"&amp;AR63&amp;"F",tabla,2,FALSE)</f>
        <v>0</v>
      </c>
      <c r="AT63" s="115">
        <f>AS63+AT59</f>
        <v>2.9068870761000003</v>
      </c>
      <c r="AU63" s="111">
        <v>1</v>
      </c>
      <c r="AV63" s="35">
        <v>1</v>
      </c>
      <c r="AW63" s="35"/>
      <c r="AX63" s="61"/>
      <c r="AY63" s="61"/>
      <c r="AZ63" s="61">
        <f>+AU63*D63</f>
        <v>0</v>
      </c>
      <c r="BA63" s="61">
        <f>+AV63*D63</f>
        <v>0</v>
      </c>
      <c r="BB63" s="61">
        <f>+AW63*D63</f>
        <v>0</v>
      </c>
      <c r="BC63" s="61">
        <f>+BB63+BB63</f>
        <v>0</v>
      </c>
      <c r="BD63" s="61"/>
      <c r="BE63" s="61"/>
      <c r="BF63" s="61"/>
      <c r="BG63" s="61"/>
      <c r="BH63" s="61"/>
      <c r="BI63" s="61"/>
      <c r="BJ63" s="61"/>
      <c r="BK63" s="61"/>
      <c r="BL63" s="61"/>
    </row>
    <row r="64" spans="2:64" hidden="1" x14ac:dyDescent="0.2"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4"/>
      <c r="AO64" s="165"/>
      <c r="AP64" s="166"/>
      <c r="AQ64" s="166"/>
      <c r="AR64" s="166"/>
      <c r="AS64" s="166"/>
      <c r="AT64" s="167"/>
      <c r="AU64" s="107"/>
      <c r="AV64" s="107"/>
      <c r="AW64" s="96"/>
      <c r="AX64" s="35"/>
      <c r="AY64" s="35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</row>
    <row r="65" spans="2:64" hidden="1" x14ac:dyDescent="0.2">
      <c r="B65" s="114">
        <v>29</v>
      </c>
      <c r="C65" s="61">
        <v>30</v>
      </c>
      <c r="D65" s="37"/>
      <c r="E65" s="61"/>
      <c r="F65" s="61"/>
      <c r="G65" s="35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>
        <v>1</v>
      </c>
      <c r="AI65" s="61"/>
      <c r="AJ65" s="61"/>
      <c r="AK65" s="61"/>
      <c r="AL65" s="61"/>
      <c r="AM65" s="38">
        <f>(E65*E$4+F65*F$4+G65*G$4+H65*$H$4+I65*I$4+J65*J$4+K65*K$4+L65*L$4+O65*O$4+Q65*Q$4+M65*$M$4+N65*$N$4+R65*$R$4+S65*$S$4+T65*$T$4+U65*$U$4+P65*$P$4+AF65*AF8+AH65*AH4)/1000</f>
        <v>0</v>
      </c>
      <c r="AN65" s="37">
        <f>AM65*D65</f>
        <v>0</v>
      </c>
      <c r="AO65" s="61">
        <v>4</v>
      </c>
      <c r="AP65" s="61">
        <v>4</v>
      </c>
      <c r="AQ65" s="61"/>
      <c r="AR65" s="61">
        <v>1</v>
      </c>
      <c r="AS65" s="36">
        <f>AN65*VLOOKUP(AO65&amp;"-"&amp;AR65&amp;"F",tabla,2,FALSE)</f>
        <v>0</v>
      </c>
      <c r="AT65" s="115">
        <f>AS65+AT63</f>
        <v>2.9068870761000003</v>
      </c>
      <c r="AU65" s="111">
        <v>1</v>
      </c>
      <c r="AV65" s="35">
        <v>1</v>
      </c>
      <c r="AW65" s="35"/>
      <c r="AX65" s="61"/>
      <c r="AY65" s="61"/>
      <c r="AZ65" s="61">
        <f>+AU65*D65</f>
        <v>0</v>
      </c>
      <c r="BA65" s="61">
        <f>+AV65*D65</f>
        <v>0</v>
      </c>
      <c r="BB65" s="61">
        <f>+AW65*D65</f>
        <v>0</v>
      </c>
      <c r="BC65" s="61">
        <f>+BB65+BB65</f>
        <v>0</v>
      </c>
      <c r="BD65" s="61"/>
      <c r="BE65" s="61"/>
      <c r="BF65" s="61"/>
      <c r="BG65" s="61"/>
      <c r="BH65" s="61"/>
      <c r="BI65" s="61"/>
      <c r="BJ65" s="61"/>
      <c r="BK65" s="61"/>
      <c r="BL65" s="61"/>
    </row>
    <row r="66" spans="2:64" hidden="1" x14ac:dyDescent="0.2"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4"/>
      <c r="AO66" s="165"/>
      <c r="AP66" s="166"/>
      <c r="AQ66" s="166"/>
      <c r="AR66" s="166"/>
      <c r="AS66" s="166"/>
      <c r="AT66" s="167"/>
      <c r="AU66" s="107"/>
      <c r="AV66" s="107"/>
      <c r="AW66" s="96"/>
      <c r="AX66" s="35"/>
      <c r="AY66" s="35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</row>
    <row r="67" spans="2:64" hidden="1" x14ac:dyDescent="0.2">
      <c r="B67" s="114">
        <v>30</v>
      </c>
      <c r="C67" s="61">
        <v>31</v>
      </c>
      <c r="D67" s="37"/>
      <c r="E67" s="61"/>
      <c r="F67" s="61"/>
      <c r="G67" s="35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>
        <v>1</v>
      </c>
      <c r="AJ67" s="61"/>
      <c r="AK67" s="61"/>
      <c r="AL67" s="61"/>
      <c r="AM67" s="38">
        <f>(E67*E$4+F67*F$4+G67*G$4+H67*$H$4+I67*I$4+J67*J$4+K67*K$4+L67*L$4+O67*O$4+Q67*Q$4+M67*$M$4+N67*$N$4+R67*$R$4+S67*$S$4+T67*$T$4+U67*$U$4+P67*$P$4+AF67*AF10+AI67*AI4)/1000</f>
        <v>0</v>
      </c>
      <c r="AN67" s="37">
        <f>AM67*D67</f>
        <v>0</v>
      </c>
      <c r="AO67" s="61">
        <v>4</v>
      </c>
      <c r="AP67" s="61">
        <v>4</v>
      </c>
      <c r="AQ67" s="61"/>
      <c r="AR67" s="61">
        <v>1</v>
      </c>
      <c r="AS67" s="36">
        <f>AN67*VLOOKUP(AO67&amp;"-"&amp;AR67&amp;"F",tabla,2,FALSE)</f>
        <v>0</v>
      </c>
      <c r="AT67" s="115">
        <f>AS67+AT65</f>
        <v>2.9068870761000003</v>
      </c>
      <c r="AU67" s="111">
        <v>1</v>
      </c>
      <c r="AV67" s="35">
        <v>1</v>
      </c>
      <c r="AW67" s="35"/>
      <c r="AX67" s="61"/>
      <c r="AY67" s="61"/>
      <c r="AZ67" s="61">
        <f>+AU67*D67</f>
        <v>0</v>
      </c>
      <c r="BA67" s="61">
        <f>+AV67*D67</f>
        <v>0</v>
      </c>
      <c r="BB67" s="61">
        <f>+AW67*D67</f>
        <v>0</v>
      </c>
      <c r="BC67" s="61">
        <f>+BB67+BB67</f>
        <v>0</v>
      </c>
      <c r="BD67" s="61"/>
      <c r="BE67" s="61"/>
      <c r="BF67" s="61"/>
      <c r="BG67" s="61"/>
      <c r="BH67" s="61"/>
      <c r="BI67" s="61"/>
      <c r="BJ67" s="61"/>
      <c r="BK67" s="61"/>
      <c r="BL67" s="61"/>
    </row>
    <row r="68" spans="2:64" hidden="1" x14ac:dyDescent="0.2"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4"/>
      <c r="AO68" s="165"/>
      <c r="AP68" s="166"/>
      <c r="AQ68" s="166"/>
      <c r="AR68" s="166"/>
      <c r="AS68" s="166"/>
      <c r="AT68" s="167"/>
      <c r="AU68" s="107"/>
      <c r="AV68" s="107"/>
      <c r="AW68" s="96"/>
      <c r="AX68" s="35"/>
      <c r="AY68" s="35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</row>
    <row r="69" spans="2:64" hidden="1" x14ac:dyDescent="0.2">
      <c r="B69" s="114">
        <v>31</v>
      </c>
      <c r="C69" s="61">
        <v>32</v>
      </c>
      <c r="D69" s="37"/>
      <c r="E69" s="61"/>
      <c r="F69" s="61"/>
      <c r="G69" s="35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>
        <v>1</v>
      </c>
      <c r="AK69" s="61"/>
      <c r="AL69" s="61"/>
      <c r="AM69" s="38">
        <f>(E69*E$4+F69*F$4+G69*G$4+H69*$H$4+I69*I$4+J69*J$4+K69*K$4+L69*L$4+O69*O$4+Q69*Q$4+M69*$M$4+N69*$N$4+R69*$R$4+S69*$S$4+T69*$T$4+U69*$U$4+P69*$P$4+AF69*AF12+AJ69*AJ4)/1000</f>
        <v>0</v>
      </c>
      <c r="AN69" s="37">
        <f>AM69*D69</f>
        <v>0</v>
      </c>
      <c r="AO69" s="61">
        <v>4</v>
      </c>
      <c r="AP69" s="61">
        <v>4</v>
      </c>
      <c r="AQ69" s="61"/>
      <c r="AR69" s="61">
        <v>1</v>
      </c>
      <c r="AS69" s="36">
        <f>AN69*VLOOKUP(AO69&amp;"-"&amp;AR69&amp;"F",tabla,2,FALSE)</f>
        <v>0</v>
      </c>
      <c r="AT69" s="115">
        <f>AS69+AT67</f>
        <v>2.9068870761000003</v>
      </c>
      <c r="AU69" s="111">
        <v>1</v>
      </c>
      <c r="AV69" s="35">
        <v>1</v>
      </c>
      <c r="AW69" s="35"/>
      <c r="AX69" s="61"/>
      <c r="AY69" s="61"/>
      <c r="AZ69" s="61">
        <f>+AU69*D69</f>
        <v>0</v>
      </c>
      <c r="BA69" s="61">
        <f>+AV69*D69</f>
        <v>0</v>
      </c>
      <c r="BB69" s="61">
        <f>+AW69*D69</f>
        <v>0</v>
      </c>
      <c r="BC69" s="61">
        <f>+BB69+BB69</f>
        <v>0</v>
      </c>
      <c r="BD69" s="61"/>
      <c r="BE69" s="61"/>
      <c r="BF69" s="61"/>
      <c r="BG69" s="61"/>
      <c r="BH69" s="61"/>
      <c r="BI69" s="61"/>
      <c r="BJ69" s="61"/>
      <c r="BK69" s="61"/>
      <c r="BL69" s="61"/>
    </row>
    <row r="70" spans="2:64" hidden="1" x14ac:dyDescent="0.2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4"/>
      <c r="AO70" s="165"/>
      <c r="AP70" s="166"/>
      <c r="AQ70" s="166"/>
      <c r="AR70" s="166"/>
      <c r="AS70" s="166"/>
      <c r="AT70" s="167"/>
      <c r="AU70" s="107"/>
      <c r="AV70" s="107"/>
      <c r="AW70" s="96"/>
      <c r="AX70" s="35"/>
      <c r="AY70" s="35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</row>
    <row r="71" spans="2:64" hidden="1" x14ac:dyDescent="0.2">
      <c r="B71" s="114">
        <v>24</v>
      </c>
      <c r="C71" s="61">
        <v>33</v>
      </c>
      <c r="D71" s="37"/>
      <c r="E71" s="61"/>
      <c r="F71" s="61"/>
      <c r="G71" s="35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>
        <v>1</v>
      </c>
      <c r="AL71" s="61"/>
      <c r="AM71" s="38">
        <f>(E71*E$4+F71*F$4+G71*G$4+H71*$H$4+I71*I$4+J71*J$4+K71*K$4+L71*L$4+O71*O$4+Q71*Q$4+M71*$M$4+N71*$N$4+R71*$R$4+S71*$S$4+T71*$T$4+U71*$U$4+P71*$P$4+AF71*AF14+AK71*AK4)/1000</f>
        <v>0</v>
      </c>
      <c r="AN71" s="37">
        <f>AM71*D71</f>
        <v>0</v>
      </c>
      <c r="AO71" s="61">
        <v>4</v>
      </c>
      <c r="AP71" s="61">
        <v>4</v>
      </c>
      <c r="AQ71" s="61"/>
      <c r="AR71" s="61">
        <v>1</v>
      </c>
      <c r="AS71" s="36">
        <f>AN71*VLOOKUP(AO71&amp;"-"&amp;AR71&amp;"F",tabla,2,FALSE)</f>
        <v>0</v>
      </c>
      <c r="AT71" s="115">
        <f>AS71+AT53</f>
        <v>2.9068870761000003</v>
      </c>
      <c r="AU71" s="111">
        <v>1</v>
      </c>
      <c r="AV71" s="35">
        <v>1</v>
      </c>
      <c r="AW71" s="35"/>
      <c r="AX71" s="61"/>
      <c r="AY71" s="61"/>
      <c r="AZ71" s="61">
        <f>+AU71*D71</f>
        <v>0</v>
      </c>
      <c r="BA71" s="61">
        <f>+AV71*D71</f>
        <v>0</v>
      </c>
      <c r="BB71" s="61">
        <f>+AW71*D71</f>
        <v>0</v>
      </c>
      <c r="BC71" s="61">
        <f>+BB71+BB71</f>
        <v>0</v>
      </c>
      <c r="BD71" s="61"/>
      <c r="BE71" s="61"/>
      <c r="BF71" s="61"/>
      <c r="BG71" s="61"/>
      <c r="BH71" s="61"/>
      <c r="BI71" s="61"/>
      <c r="BJ71" s="61"/>
      <c r="BK71" s="61"/>
      <c r="BL71" s="61"/>
    </row>
    <row r="72" spans="2:64" hidden="1" x14ac:dyDescent="0.2"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4"/>
      <c r="AO72" s="165"/>
      <c r="AP72" s="166"/>
      <c r="AQ72" s="166"/>
      <c r="AR72" s="166"/>
      <c r="AS72" s="166"/>
      <c r="AT72" s="167"/>
      <c r="AU72" s="107"/>
      <c r="AV72" s="107"/>
      <c r="AW72" s="96"/>
      <c r="AX72" s="35"/>
      <c r="AY72" s="35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</row>
    <row r="73" spans="2:64" hidden="1" x14ac:dyDescent="0.2">
      <c r="B73" s="114">
        <v>33</v>
      </c>
      <c r="C73" s="61">
        <v>34</v>
      </c>
      <c r="D73" s="37"/>
      <c r="E73" s="61"/>
      <c r="F73" s="61"/>
      <c r="G73" s="35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>
        <v>1</v>
      </c>
      <c r="AM73" s="38">
        <f>(E73*E$4+F73*F$4+G73*G$4+H73*$H$4+I73*I$4+J73*J$4+K73*K$4+L73*L$4+O73*O$4+Q73*Q$4+M73*$M$4+N73*$N$4+R73*$R$4+S73*$S$4+T73*$T$4+U73*$U$4+P73*$P$4+AF73*AF16+AL73*AL4)/1000</f>
        <v>0</v>
      </c>
      <c r="AN73" s="37">
        <f>AM73*D73</f>
        <v>0</v>
      </c>
      <c r="AO73" s="61">
        <v>4</v>
      </c>
      <c r="AP73" s="61">
        <v>4</v>
      </c>
      <c r="AQ73" s="61"/>
      <c r="AR73" s="61">
        <v>3</v>
      </c>
      <c r="AS73" s="36">
        <f>AN73*VLOOKUP(AO73&amp;"-"&amp;AR73&amp;"F",tabla,2,FALSE)</f>
        <v>0</v>
      </c>
      <c r="AT73" s="115">
        <f>AS73+AT71</f>
        <v>2.9068870761000003</v>
      </c>
      <c r="AU73" s="111">
        <v>1</v>
      </c>
      <c r="AV73" s="35">
        <v>1</v>
      </c>
      <c r="AW73" s="35"/>
      <c r="AX73" s="61"/>
      <c r="AY73" s="61"/>
      <c r="AZ73" s="61">
        <f>+AU73*D73</f>
        <v>0</v>
      </c>
      <c r="BA73" s="61">
        <f>+AV73*D73</f>
        <v>0</v>
      </c>
      <c r="BB73" s="61">
        <f>+AW73*D73</f>
        <v>0</v>
      </c>
      <c r="BC73" s="61">
        <f>+BB73+BB73</f>
        <v>0</v>
      </c>
      <c r="BD73" s="61"/>
      <c r="BE73" s="61"/>
      <c r="BF73" s="61"/>
      <c r="BG73" s="61"/>
      <c r="BH73" s="61"/>
      <c r="BI73" s="61"/>
      <c r="BJ73" s="61"/>
      <c r="BK73" s="61"/>
      <c r="BL73" s="61"/>
    </row>
    <row r="74" spans="2:64" ht="12" thickBot="1" x14ac:dyDescent="0.25">
      <c r="B74" s="168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70"/>
      <c r="AO74" s="171"/>
      <c r="AP74" s="172"/>
      <c r="AQ74" s="172"/>
      <c r="AR74" s="172"/>
      <c r="AS74" s="172"/>
      <c r="AT74" s="173"/>
      <c r="AU74" s="107"/>
      <c r="AV74" s="107"/>
      <c r="AW74" s="96"/>
      <c r="AX74" s="35"/>
      <c r="AY74" s="35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</row>
    <row r="75" spans="2:64" x14ac:dyDescent="0.2">
      <c r="BB75" s="97" t="s">
        <v>75</v>
      </c>
      <c r="BC75" s="98">
        <f t="shared" ref="BC75:BL75" si="1">SUM(BC7:BC17)</f>
        <v>0</v>
      </c>
      <c r="BD75" s="98">
        <f t="shared" si="1"/>
        <v>0</v>
      </c>
      <c r="BE75" s="98">
        <f t="shared" si="1"/>
        <v>0</v>
      </c>
      <c r="BF75" s="98">
        <f t="shared" si="1"/>
        <v>0</v>
      </c>
      <c r="BG75" s="98">
        <f t="shared" si="1"/>
        <v>0</v>
      </c>
      <c r="BH75" s="98">
        <f t="shared" si="1"/>
        <v>0</v>
      </c>
      <c r="BI75" s="98">
        <f t="shared" si="1"/>
        <v>0</v>
      </c>
      <c r="BJ75" s="98">
        <f t="shared" si="1"/>
        <v>0</v>
      </c>
      <c r="BK75" s="98">
        <f t="shared" si="1"/>
        <v>0</v>
      </c>
      <c r="BL75" s="98">
        <f t="shared" si="1"/>
        <v>0</v>
      </c>
    </row>
    <row r="76" spans="2:64" x14ac:dyDescent="0.2">
      <c r="BB76" s="97" t="s">
        <v>83</v>
      </c>
      <c r="BC76" s="98">
        <f>+BC75*1.1</f>
        <v>0</v>
      </c>
      <c r="BD76" s="98">
        <f t="shared" ref="BD76:BL76" si="2">+BD75*1.1</f>
        <v>0</v>
      </c>
      <c r="BE76" s="98">
        <f t="shared" si="2"/>
        <v>0</v>
      </c>
      <c r="BF76" s="98">
        <f t="shared" si="2"/>
        <v>0</v>
      </c>
      <c r="BG76" s="98">
        <f t="shared" si="2"/>
        <v>0</v>
      </c>
      <c r="BH76" s="98">
        <f t="shared" si="2"/>
        <v>0</v>
      </c>
      <c r="BI76" s="98">
        <f t="shared" si="2"/>
        <v>0</v>
      </c>
      <c r="BJ76" s="98">
        <f t="shared" si="2"/>
        <v>0</v>
      </c>
      <c r="BK76" s="98">
        <f t="shared" si="2"/>
        <v>0</v>
      </c>
      <c r="BL76" s="98">
        <f t="shared" si="2"/>
        <v>0</v>
      </c>
    </row>
  </sheetData>
  <mergeCells count="86">
    <mergeCell ref="B74:AN74"/>
    <mergeCell ref="AO74:AT74"/>
    <mergeCell ref="B68:AN68"/>
    <mergeCell ref="AO68:AT68"/>
    <mergeCell ref="B70:AN70"/>
    <mergeCell ref="AO70:AT70"/>
    <mergeCell ref="B72:AN72"/>
    <mergeCell ref="AO72:AT72"/>
    <mergeCell ref="AU60:AW60"/>
    <mergeCell ref="B62:AN62"/>
    <mergeCell ref="AO62:AT62"/>
    <mergeCell ref="B64:AN64"/>
    <mergeCell ref="AO64:AT64"/>
    <mergeCell ref="B66:AN66"/>
    <mergeCell ref="AO66:AT66"/>
    <mergeCell ref="B54:AN54"/>
    <mergeCell ref="AO54:AT54"/>
    <mergeCell ref="B56:AN56"/>
    <mergeCell ref="AO56:AT56"/>
    <mergeCell ref="B60:AN60"/>
    <mergeCell ref="AO60:AT60"/>
    <mergeCell ref="AU38:AW38"/>
    <mergeCell ref="B52:AN52"/>
    <mergeCell ref="AO52:AT52"/>
    <mergeCell ref="AU52:AW52"/>
    <mergeCell ref="B42:AN42"/>
    <mergeCell ref="AO42:AT42"/>
    <mergeCell ref="AU42:AW42"/>
    <mergeCell ref="B44:AN44"/>
    <mergeCell ref="AO44:AT44"/>
    <mergeCell ref="B46:AN46"/>
    <mergeCell ref="AO46:AT46"/>
    <mergeCell ref="B48:AN48"/>
    <mergeCell ref="AO48:AT48"/>
    <mergeCell ref="AU48:AW48"/>
    <mergeCell ref="B50:AN50"/>
    <mergeCell ref="AO50:AT50"/>
    <mergeCell ref="B40:AN40"/>
    <mergeCell ref="AO40:AT40"/>
    <mergeCell ref="B30:AN30"/>
    <mergeCell ref="B32:AN32"/>
    <mergeCell ref="AO32:AT32"/>
    <mergeCell ref="B36:AN36"/>
    <mergeCell ref="AO36:AT36"/>
    <mergeCell ref="B38:AN38"/>
    <mergeCell ref="AO38:AT38"/>
    <mergeCell ref="B22:AN22"/>
    <mergeCell ref="AO22:AT22"/>
    <mergeCell ref="AU32:AW32"/>
    <mergeCell ref="B34:AN34"/>
    <mergeCell ref="AO34:AT34"/>
    <mergeCell ref="B24:AN24"/>
    <mergeCell ref="AO24:AT24"/>
    <mergeCell ref="B26:AN26"/>
    <mergeCell ref="AO26:AT26"/>
    <mergeCell ref="AU26:AW26"/>
    <mergeCell ref="B28:AN28"/>
    <mergeCell ref="AO28:AT28"/>
    <mergeCell ref="AU14:AW14"/>
    <mergeCell ref="B18:AN18"/>
    <mergeCell ref="B20:AN20"/>
    <mergeCell ref="AO20:AT20"/>
    <mergeCell ref="AU20:AW20"/>
    <mergeCell ref="B16:AN16"/>
    <mergeCell ref="AO16:AT16"/>
    <mergeCell ref="B5:AT5"/>
    <mergeCell ref="B6:AN6"/>
    <mergeCell ref="B8:AN8"/>
    <mergeCell ref="AO8:AT8"/>
    <mergeCell ref="B12:AN12"/>
    <mergeCell ref="AO12:AT12"/>
    <mergeCell ref="B14:AN14"/>
    <mergeCell ref="AO14:AT14"/>
    <mergeCell ref="AU8:AW8"/>
    <mergeCell ref="B10:AN10"/>
    <mergeCell ref="AO10:AT10"/>
    <mergeCell ref="B2:AT2"/>
    <mergeCell ref="AU2:BL2"/>
    <mergeCell ref="B3:B4"/>
    <mergeCell ref="C3:C4"/>
    <mergeCell ref="AR3:AR4"/>
    <mergeCell ref="AS3:AT3"/>
    <mergeCell ref="AU3:AW3"/>
    <mergeCell ref="AX3:AX4"/>
    <mergeCell ref="AY3:AY4"/>
    <mergeCell ref="AZ3:BB3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M7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AO80" sqref="AO80"/>
    </sheetView>
  </sheetViews>
  <sheetFormatPr baseColWidth="10" defaultRowHeight="11.25" x14ac:dyDescent="0.2"/>
  <cols>
    <col min="1" max="1" width="11.42578125" style="94"/>
    <col min="2" max="2" width="2.85546875" style="94" bestFit="1" customWidth="1"/>
    <col min="3" max="3" width="7.28515625" style="94" customWidth="1"/>
    <col min="4" max="10" width="8.42578125" style="94" customWidth="1"/>
    <col min="11" max="38" width="8.42578125" style="94" hidden="1" customWidth="1"/>
    <col min="39" max="39" width="6.5703125" style="94" bestFit="1" customWidth="1"/>
    <col min="40" max="40" width="9" style="94" bestFit="1" customWidth="1"/>
    <col min="41" max="43" width="8" style="94" customWidth="1"/>
    <col min="44" max="44" width="5.85546875" style="94" bestFit="1" customWidth="1"/>
    <col min="45" max="45" width="8.28515625" style="94" hidden="1" customWidth="1"/>
    <col min="46" max="46" width="8.28515625" style="94" customWidth="1"/>
    <col min="47" max="47" width="9.7109375" style="94" bestFit="1" customWidth="1"/>
    <col min="48" max="50" width="8.140625" style="94" customWidth="1"/>
    <col min="51" max="51" width="9.5703125" style="94" customWidth="1"/>
    <col min="52" max="55" width="8.140625" style="94" customWidth="1"/>
    <col min="56" max="57" width="6.42578125" style="94" bestFit="1" customWidth="1"/>
    <col min="58" max="61" width="5.5703125" style="94" bestFit="1" customWidth="1"/>
    <col min="62" max="63" width="6.85546875" style="94" bestFit="1" customWidth="1"/>
    <col min="64" max="65" width="7.140625" style="94" bestFit="1" customWidth="1"/>
    <col min="66" max="16384" width="11.42578125" style="94"/>
  </cols>
  <sheetData>
    <row r="1" spans="2:65" ht="12" thickBot="1" x14ac:dyDescent="0.25"/>
    <row r="2" spans="2:65" x14ac:dyDescent="0.2">
      <c r="B2" s="177" t="s">
        <v>82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89"/>
      <c r="AU2" s="179"/>
      <c r="AV2" s="175" t="s">
        <v>57</v>
      </c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</row>
    <row r="3" spans="2:65" s="95" customFormat="1" ht="22.5" x14ac:dyDescent="0.2">
      <c r="B3" s="180" t="s">
        <v>1</v>
      </c>
      <c r="C3" s="181" t="s">
        <v>2</v>
      </c>
      <c r="D3" s="108" t="s">
        <v>98</v>
      </c>
      <c r="E3" s="42" t="s">
        <v>25</v>
      </c>
      <c r="F3" s="42" t="s">
        <v>25</v>
      </c>
      <c r="G3" s="42" t="s">
        <v>25</v>
      </c>
      <c r="H3" s="42" t="s">
        <v>25</v>
      </c>
      <c r="I3" s="42" t="s">
        <v>25</v>
      </c>
      <c r="J3" s="42" t="s">
        <v>25</v>
      </c>
      <c r="K3" s="42" t="s">
        <v>25</v>
      </c>
      <c r="L3" s="42" t="s">
        <v>25</v>
      </c>
      <c r="M3" s="42" t="s">
        <v>25</v>
      </c>
      <c r="N3" s="42" t="s">
        <v>25</v>
      </c>
      <c r="O3" s="42" t="s">
        <v>25</v>
      </c>
      <c r="P3" s="42" t="s">
        <v>25</v>
      </c>
      <c r="Q3" s="42" t="s">
        <v>25</v>
      </c>
      <c r="R3" s="42" t="s">
        <v>25</v>
      </c>
      <c r="S3" s="42" t="s">
        <v>25</v>
      </c>
      <c r="T3" s="42" t="s">
        <v>25</v>
      </c>
      <c r="U3" s="42" t="s">
        <v>25</v>
      </c>
      <c r="V3" s="42" t="s">
        <v>25</v>
      </c>
      <c r="W3" s="42" t="s">
        <v>25</v>
      </c>
      <c r="X3" s="42" t="s">
        <v>25</v>
      </c>
      <c r="Y3" s="42" t="s">
        <v>25</v>
      </c>
      <c r="Z3" s="42" t="s">
        <v>25</v>
      </c>
      <c r="AA3" s="42" t="s">
        <v>25</v>
      </c>
      <c r="AB3" s="42" t="s">
        <v>25</v>
      </c>
      <c r="AC3" s="42" t="s">
        <v>25</v>
      </c>
      <c r="AD3" s="42" t="s">
        <v>25</v>
      </c>
      <c r="AE3" s="42" t="s">
        <v>25</v>
      </c>
      <c r="AF3" s="42" t="s">
        <v>25</v>
      </c>
      <c r="AG3" s="42" t="s">
        <v>25</v>
      </c>
      <c r="AH3" s="42" t="s">
        <v>25</v>
      </c>
      <c r="AI3" s="42" t="s">
        <v>25</v>
      </c>
      <c r="AJ3" s="42" t="s">
        <v>25</v>
      </c>
      <c r="AK3" s="42" t="s">
        <v>25</v>
      </c>
      <c r="AL3" s="42" t="s">
        <v>25</v>
      </c>
      <c r="AM3" s="108" t="s">
        <v>25</v>
      </c>
      <c r="AN3" s="108" t="s">
        <v>26</v>
      </c>
      <c r="AO3" s="108" t="s">
        <v>77</v>
      </c>
      <c r="AP3" s="108" t="s">
        <v>78</v>
      </c>
      <c r="AQ3" s="108" t="s">
        <v>79</v>
      </c>
      <c r="AR3" s="181" t="s">
        <v>27</v>
      </c>
      <c r="AS3" s="176" t="s">
        <v>126</v>
      </c>
      <c r="AT3" s="190"/>
      <c r="AU3" s="182"/>
      <c r="AV3" s="175" t="s">
        <v>58</v>
      </c>
      <c r="AW3" s="176"/>
      <c r="AX3" s="176"/>
      <c r="AY3" s="176" t="s">
        <v>84</v>
      </c>
      <c r="AZ3" s="176" t="s">
        <v>49</v>
      </c>
      <c r="BA3" s="176" t="s">
        <v>59</v>
      </c>
      <c r="BB3" s="176"/>
      <c r="BC3" s="176"/>
      <c r="BD3" s="108" t="s">
        <v>60</v>
      </c>
      <c r="BE3" s="108" t="s">
        <v>61</v>
      </c>
      <c r="BF3" s="108" t="s">
        <v>62</v>
      </c>
      <c r="BG3" s="108" t="s">
        <v>63</v>
      </c>
      <c r="BH3" s="108" t="s">
        <v>64</v>
      </c>
      <c r="BI3" s="108" t="s">
        <v>65</v>
      </c>
      <c r="BJ3" s="108" t="s">
        <v>66</v>
      </c>
      <c r="BK3" s="108" t="s">
        <v>67</v>
      </c>
      <c r="BL3" s="108" t="s">
        <v>68</v>
      </c>
      <c r="BM3" s="108" t="s">
        <v>69</v>
      </c>
    </row>
    <row r="4" spans="2:65" x14ac:dyDescent="0.2">
      <c r="B4" s="180"/>
      <c r="C4" s="181"/>
      <c r="D4" s="109" t="s">
        <v>125</v>
      </c>
      <c r="E4" s="42">
        <v>10350</v>
      </c>
      <c r="F4" s="42">
        <v>4830</v>
      </c>
      <c r="G4" s="42">
        <v>9660</v>
      </c>
      <c r="H4" s="42">
        <v>4140</v>
      </c>
      <c r="I4" s="42">
        <v>8970</v>
      </c>
      <c r="J4" s="42">
        <v>3450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109" t="s">
        <v>3</v>
      </c>
      <c r="AN4" s="109" t="s">
        <v>4</v>
      </c>
      <c r="AO4" s="109" t="s">
        <v>23</v>
      </c>
      <c r="AP4" s="109" t="s">
        <v>159</v>
      </c>
      <c r="AQ4" s="109" t="s">
        <v>23</v>
      </c>
      <c r="AR4" s="181"/>
      <c r="AS4" s="109" t="s">
        <v>5</v>
      </c>
      <c r="AT4" s="109" t="s">
        <v>5</v>
      </c>
      <c r="AU4" s="112" t="s">
        <v>6</v>
      </c>
      <c r="AV4" s="110" t="s">
        <v>27</v>
      </c>
      <c r="AW4" s="109" t="s">
        <v>70</v>
      </c>
      <c r="AX4" s="109" t="s">
        <v>71</v>
      </c>
      <c r="AY4" s="176"/>
      <c r="AZ4" s="176"/>
      <c r="BA4" s="109" t="s">
        <v>27</v>
      </c>
      <c r="BB4" s="109" t="s">
        <v>70</v>
      </c>
      <c r="BC4" s="109" t="s">
        <v>71</v>
      </c>
      <c r="BD4" s="109" t="s">
        <v>72</v>
      </c>
      <c r="BE4" s="109" t="s">
        <v>72</v>
      </c>
      <c r="BF4" s="109" t="s">
        <v>72</v>
      </c>
      <c r="BG4" s="109" t="s">
        <v>72</v>
      </c>
      <c r="BH4" s="109" t="s">
        <v>72</v>
      </c>
      <c r="BI4" s="109" t="s">
        <v>72</v>
      </c>
      <c r="BJ4" s="109" t="s">
        <v>72</v>
      </c>
      <c r="BK4" s="109" t="s">
        <v>72</v>
      </c>
      <c r="BL4" s="109" t="s">
        <v>72</v>
      </c>
      <c r="BM4" s="109" t="s">
        <v>72</v>
      </c>
    </row>
    <row r="5" spans="2:65" ht="12.75" x14ac:dyDescent="0.2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5"/>
      <c r="AV5" s="111"/>
      <c r="AW5" s="35"/>
      <c r="AX5" s="35"/>
      <c r="AY5" s="35"/>
      <c r="AZ5" s="35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</row>
    <row r="6" spans="2:65" x14ac:dyDescent="0.2">
      <c r="B6" s="186" t="s">
        <v>130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07"/>
      <c r="AP6" s="107"/>
      <c r="AQ6" s="107"/>
      <c r="AR6" s="107"/>
      <c r="AS6" s="107"/>
      <c r="AT6" s="107"/>
      <c r="AU6" s="113"/>
      <c r="AV6" s="107"/>
      <c r="AW6" s="107"/>
      <c r="AX6" s="96"/>
      <c r="AY6" s="35"/>
      <c r="AZ6" s="35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</row>
    <row r="7" spans="2:65" x14ac:dyDescent="0.2">
      <c r="B7" s="114">
        <v>0</v>
      </c>
      <c r="C7" s="61">
        <v>1</v>
      </c>
      <c r="D7" s="37">
        <v>50</v>
      </c>
      <c r="E7" s="61">
        <v>1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38">
        <f>(E7*E$4+F7*F$4+G7*G$4+H7*$H$4+I7*I$4+J7*J$4+K7*K$4+L7*L$4+O7*O$4+Q7*Q$4+M7*$M$4+N7*$N$4+R7*$R$4+S7*$S$4+T7*$T$4+U7*$U$4+P7*$P$4)/1000</f>
        <v>10.35</v>
      </c>
      <c r="AN7" s="37">
        <f>AM7*D7</f>
        <v>517.5</v>
      </c>
      <c r="AO7" s="61">
        <v>4</v>
      </c>
      <c r="AP7" s="61">
        <v>48.69</v>
      </c>
      <c r="AQ7" s="61">
        <v>2</v>
      </c>
      <c r="AR7" s="61">
        <v>2</v>
      </c>
      <c r="AS7" s="36">
        <f>AN7*VLOOKUP(AO7&amp;"-"&amp;AR7&amp;"F",tabla,2,FALSE)</f>
        <v>1.54464435</v>
      </c>
      <c r="AT7" s="129">
        <f>AS7/2</f>
        <v>0.772322175</v>
      </c>
      <c r="AU7" s="115">
        <f>AT7</f>
        <v>0.772322175</v>
      </c>
      <c r="AV7" s="111">
        <v>1</v>
      </c>
      <c r="AW7" s="35">
        <v>1</v>
      </c>
      <c r="AX7" s="35"/>
      <c r="AY7" s="61"/>
      <c r="AZ7" s="61"/>
      <c r="BA7" s="61">
        <f>+AV7*D7</f>
        <v>50</v>
      </c>
      <c r="BB7" s="61">
        <f>+AW7*D7</f>
        <v>50</v>
      </c>
      <c r="BC7" s="61">
        <f>+AX7*D7</f>
        <v>0</v>
      </c>
      <c r="BD7" s="61">
        <f>+BC7+BC7</f>
        <v>0</v>
      </c>
      <c r="BE7" s="61"/>
      <c r="BF7" s="61"/>
      <c r="BG7" s="61"/>
      <c r="BH7" s="61"/>
      <c r="BI7" s="61"/>
      <c r="BJ7" s="61"/>
      <c r="BK7" s="61"/>
      <c r="BL7" s="61"/>
      <c r="BM7" s="61"/>
    </row>
    <row r="8" spans="2:65" x14ac:dyDescent="0.2"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5"/>
      <c r="AP8" s="166"/>
      <c r="AQ8" s="166"/>
      <c r="AR8" s="166"/>
      <c r="AS8" s="166"/>
      <c r="AT8" s="166"/>
      <c r="AU8" s="167"/>
      <c r="AV8" s="174"/>
      <c r="AW8" s="174"/>
      <c r="AX8" s="174"/>
      <c r="AY8" s="35"/>
      <c r="AZ8" s="35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</row>
    <row r="9" spans="2:65" x14ac:dyDescent="0.2">
      <c r="B9" s="114">
        <v>1</v>
      </c>
      <c r="C9" s="61">
        <f>C7+1</f>
        <v>2</v>
      </c>
      <c r="D9" s="37">
        <v>50</v>
      </c>
      <c r="E9" s="61"/>
      <c r="F9" s="61">
        <v>1</v>
      </c>
      <c r="G9" s="35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38">
        <f>(E9*E$4+F9*F$4+G9*G$4+H9*$H$4+I9*I$4+J9*J$4+K9*K$4+L9*L$4+O9*O$4+Q9*Q$4+M9*$M$4+N9*$N$4+R9*$R$4+S9*$S$4+T9*$T$4+U9*$U$4+P9*$P$4)/1000</f>
        <v>4.83</v>
      </c>
      <c r="AN9" s="37">
        <f>AM9*D9</f>
        <v>241.5</v>
      </c>
      <c r="AO9" s="61">
        <v>4</v>
      </c>
      <c r="AP9" s="61">
        <v>48.69</v>
      </c>
      <c r="AQ9" s="61">
        <v>2</v>
      </c>
      <c r="AR9" s="61">
        <v>2</v>
      </c>
      <c r="AS9" s="36">
        <f>AN9*VLOOKUP(AO9&amp;"-"&amp;AR9&amp;"F",tabla,2,FALSE)</f>
        <v>0.72083403000000001</v>
      </c>
      <c r="AT9" s="129">
        <f>AS9/2</f>
        <v>0.36041701500000001</v>
      </c>
      <c r="AU9" s="115">
        <f>AT9+AU7</f>
        <v>1.1327391900000001</v>
      </c>
      <c r="AV9" s="111">
        <v>1</v>
      </c>
      <c r="AW9" s="35">
        <v>1</v>
      </c>
      <c r="AX9" s="35"/>
      <c r="AY9" s="61"/>
      <c r="AZ9" s="61"/>
      <c r="BA9" s="61">
        <f>+AV9*D9</f>
        <v>50</v>
      </c>
      <c r="BB9" s="61">
        <f>+AW9*D9</f>
        <v>50</v>
      </c>
      <c r="BC9" s="61">
        <f>+AX9*D9</f>
        <v>0</v>
      </c>
      <c r="BD9" s="61">
        <f>+BC9+BC9</f>
        <v>0</v>
      </c>
      <c r="BE9" s="61"/>
      <c r="BF9" s="61"/>
      <c r="BG9" s="61"/>
      <c r="BH9" s="61"/>
      <c r="BI9" s="61"/>
      <c r="BJ9" s="61"/>
      <c r="BK9" s="61"/>
      <c r="BL9" s="61"/>
      <c r="BM9" s="61"/>
    </row>
    <row r="10" spans="2:65" x14ac:dyDescent="0.2">
      <c r="B10" s="16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5"/>
      <c r="AP10" s="166"/>
      <c r="AQ10" s="166"/>
      <c r="AR10" s="166"/>
      <c r="AS10" s="166"/>
      <c r="AT10" s="166"/>
      <c r="AU10" s="167"/>
      <c r="AV10" s="107"/>
      <c r="AW10" s="107"/>
      <c r="AX10" s="96"/>
      <c r="AY10" s="35"/>
      <c r="AZ10" s="35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</row>
    <row r="11" spans="2:65" x14ac:dyDescent="0.2">
      <c r="B11" s="114">
        <v>0</v>
      </c>
      <c r="C11" s="61">
        <f>C9+1</f>
        <v>3</v>
      </c>
      <c r="D11" s="37">
        <v>30</v>
      </c>
      <c r="E11" s="61"/>
      <c r="F11" s="61"/>
      <c r="G11" s="61">
        <v>1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38">
        <f>(E11*E$4+F11*F$4+G11*G$4+H11*$H$4+I11*I$4+J11*J$4+K11*K$4+L11*L$4+O11*O$4+Q11*Q$4+M11*$M$4+N11*$N$4+R11*$R$4+S11*$S$4+T11*$T$4+U11*$U$4+P11*$P$4)/1000</f>
        <v>9.66</v>
      </c>
      <c r="AN11" s="37">
        <f>AM11*D11</f>
        <v>289.8</v>
      </c>
      <c r="AO11" s="61">
        <v>4</v>
      </c>
      <c r="AP11" s="61">
        <v>48.69</v>
      </c>
      <c r="AQ11" s="61">
        <v>2</v>
      </c>
      <c r="AR11" s="61">
        <v>2</v>
      </c>
      <c r="AS11" s="36">
        <f>AN11*VLOOKUP(AO11&amp;"-"&amp;AR11&amp;"F",tabla,2,FALSE)</f>
        <v>0.865000836</v>
      </c>
      <c r="AT11" s="129">
        <f>AS11/2</f>
        <v>0.432500418</v>
      </c>
      <c r="AU11" s="115">
        <f>AT11</f>
        <v>0.432500418</v>
      </c>
      <c r="AV11" s="111">
        <v>1</v>
      </c>
      <c r="AW11" s="35">
        <v>1</v>
      </c>
      <c r="AX11" s="35"/>
      <c r="AY11" s="35"/>
      <c r="AZ11" s="35"/>
      <c r="BA11" s="61">
        <f>+AV11*D11</f>
        <v>30</v>
      </c>
      <c r="BB11" s="61">
        <f>+AW11*D11</f>
        <v>30</v>
      </c>
      <c r="BC11" s="61">
        <f>+AX11*D11</f>
        <v>0</v>
      </c>
      <c r="BD11" s="61">
        <f>+BC11+BC11</f>
        <v>0</v>
      </c>
      <c r="BE11" s="61"/>
      <c r="BF11" s="61"/>
      <c r="BG11" s="61"/>
      <c r="BH11" s="61"/>
      <c r="BI11" s="61"/>
      <c r="BJ11" s="61"/>
      <c r="BK11" s="61"/>
      <c r="BL11" s="61"/>
      <c r="BM11" s="61"/>
    </row>
    <row r="12" spans="2:65" x14ac:dyDescent="0.2"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4"/>
      <c r="AO12" s="165"/>
      <c r="AP12" s="166"/>
      <c r="AQ12" s="166"/>
      <c r="AR12" s="166"/>
      <c r="AS12" s="166"/>
      <c r="AT12" s="166"/>
      <c r="AU12" s="167"/>
      <c r="AV12" s="107"/>
      <c r="AW12" s="107"/>
      <c r="AX12" s="96"/>
      <c r="AY12" s="35"/>
      <c r="AZ12" s="35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</row>
    <row r="13" spans="2:65" x14ac:dyDescent="0.2">
      <c r="B13" s="114">
        <v>3</v>
      </c>
      <c r="C13" s="61">
        <f>C11+1</f>
        <v>4</v>
      </c>
      <c r="D13" s="37">
        <v>50</v>
      </c>
      <c r="E13" s="61"/>
      <c r="F13" s="61"/>
      <c r="G13" s="61"/>
      <c r="H13" s="61">
        <v>1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38">
        <f>(E13*E$4+F13*F$4+G13*G$4+H13*$H$4+I13*I$4+J13*J$4+K13*K$4+L13*L$4+O13*O$4+Q13*Q$4+M13*$M$4+N13*$N$4+R13*$R$4+S13*$S$4+T13*$T$4+U13*$U$4+P13*$P$4)/1000</f>
        <v>4.1399999999999997</v>
      </c>
      <c r="AN13" s="37">
        <f>AM13*D13</f>
        <v>206.99999999999997</v>
      </c>
      <c r="AO13" s="61">
        <v>4</v>
      </c>
      <c r="AP13" s="61">
        <v>48.69</v>
      </c>
      <c r="AQ13" s="61">
        <v>2</v>
      </c>
      <c r="AR13" s="61">
        <v>2</v>
      </c>
      <c r="AS13" s="36">
        <f>AN13*VLOOKUP(AO13&amp;"-"&amp;AR13&amp;"F",tabla,2,FALSE)</f>
        <v>0.61785773999999993</v>
      </c>
      <c r="AT13" s="129">
        <f>AS13/2</f>
        <v>0.30892886999999997</v>
      </c>
      <c r="AU13" s="115">
        <f>AT13+AU11</f>
        <v>0.74142928799999996</v>
      </c>
      <c r="AV13" s="111">
        <v>1</v>
      </c>
      <c r="AW13" s="35">
        <v>1</v>
      </c>
      <c r="AX13" s="35"/>
      <c r="AY13" s="35"/>
      <c r="AZ13" s="35"/>
      <c r="BA13" s="61">
        <f>+AV13*D13</f>
        <v>50</v>
      </c>
      <c r="BB13" s="61">
        <f>+AW13*D13</f>
        <v>50</v>
      </c>
      <c r="BC13" s="61">
        <f>+AX13*D13</f>
        <v>0</v>
      </c>
      <c r="BD13" s="61">
        <f>+BC13+BC13</f>
        <v>0</v>
      </c>
      <c r="BE13" s="61"/>
      <c r="BF13" s="61"/>
      <c r="BG13" s="61"/>
      <c r="BH13" s="61"/>
      <c r="BI13" s="61"/>
      <c r="BJ13" s="61"/>
      <c r="BK13" s="61"/>
      <c r="BL13" s="61"/>
      <c r="BM13" s="61"/>
    </row>
    <row r="14" spans="2:65" x14ac:dyDescent="0.2">
      <c r="B14" s="162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4"/>
      <c r="AO14" s="165"/>
      <c r="AP14" s="166"/>
      <c r="AQ14" s="166"/>
      <c r="AR14" s="166"/>
      <c r="AS14" s="166"/>
      <c r="AT14" s="166"/>
      <c r="AU14" s="167"/>
      <c r="AV14" s="166"/>
      <c r="AW14" s="166"/>
      <c r="AX14" s="188"/>
      <c r="AY14" s="35"/>
      <c r="AZ14" s="35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</row>
    <row r="15" spans="2:65" x14ac:dyDescent="0.2">
      <c r="B15" s="114">
        <v>0</v>
      </c>
      <c r="C15" s="61">
        <f>C13+1</f>
        <v>5</v>
      </c>
      <c r="D15" s="37">
        <v>20</v>
      </c>
      <c r="E15" s="61"/>
      <c r="F15" s="61"/>
      <c r="G15" s="61"/>
      <c r="H15" s="61"/>
      <c r="I15" s="61">
        <v>1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38">
        <f>(E15*E$4+F15*F$4+G15*G$4+H15*$H$4+I15*I$4+J15*J$4+K15*K$4+L15*L$4+O15*O$4+Q15*Q$4+M15*$M$4+N15*$N$4+R15*$R$4+S15*$S$4+T15*$T$4+U15*$U$4+P15*$P$4)/1000</f>
        <v>8.9700000000000006</v>
      </c>
      <c r="AN15" s="37">
        <f>AM15*D15</f>
        <v>179.4</v>
      </c>
      <c r="AO15" s="61">
        <v>4</v>
      </c>
      <c r="AP15" s="61">
        <v>48.69</v>
      </c>
      <c r="AQ15" s="61">
        <v>2</v>
      </c>
      <c r="AR15" s="61">
        <v>2</v>
      </c>
      <c r="AS15" s="36">
        <f>AN15*VLOOKUP(AO15&amp;"-"&amp;AR15&amp;"F",tabla,2,FALSE)</f>
        <v>0.53547670800000002</v>
      </c>
      <c r="AT15" s="129">
        <f>AS15/2</f>
        <v>0.26773835400000001</v>
      </c>
      <c r="AU15" s="115">
        <f>AT15</f>
        <v>0.26773835400000001</v>
      </c>
      <c r="AV15" s="111">
        <v>1</v>
      </c>
      <c r="AW15" s="35">
        <v>1</v>
      </c>
      <c r="AX15" s="35"/>
      <c r="AY15" s="35"/>
      <c r="AZ15" s="35"/>
      <c r="BA15" s="61">
        <f>+AV15*D15</f>
        <v>20</v>
      </c>
      <c r="BB15" s="61">
        <f>+AW15*D15</f>
        <v>20</v>
      </c>
      <c r="BC15" s="61">
        <f>+AX15*D15</f>
        <v>0</v>
      </c>
      <c r="BD15" s="61">
        <f>+BC15+BC15</f>
        <v>0</v>
      </c>
      <c r="BE15" s="61"/>
      <c r="BF15" s="61"/>
      <c r="BG15" s="61"/>
      <c r="BH15" s="61"/>
      <c r="BI15" s="61"/>
      <c r="BJ15" s="61"/>
      <c r="BK15" s="61"/>
      <c r="BL15" s="61"/>
      <c r="BM15" s="61"/>
    </row>
    <row r="16" spans="2:65" x14ac:dyDescent="0.2"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4"/>
      <c r="AO16" s="165"/>
      <c r="AP16" s="166"/>
      <c r="AQ16" s="166"/>
      <c r="AR16" s="166"/>
      <c r="AS16" s="166"/>
      <c r="AT16" s="166"/>
      <c r="AU16" s="167"/>
      <c r="AV16" s="107"/>
      <c r="AW16" s="107"/>
      <c r="AX16" s="96"/>
      <c r="AY16" s="35"/>
      <c r="AZ16" s="35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</row>
    <row r="17" spans="2:65" x14ac:dyDescent="0.2">
      <c r="B17" s="114">
        <v>5</v>
      </c>
      <c r="C17" s="61">
        <f>C15+1</f>
        <v>6</v>
      </c>
      <c r="D17" s="37">
        <v>70</v>
      </c>
      <c r="E17" s="61"/>
      <c r="F17" s="61"/>
      <c r="G17" s="61"/>
      <c r="H17" s="61"/>
      <c r="I17" s="61"/>
      <c r="J17" s="61">
        <v>1</v>
      </c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38">
        <f>(E17*E$4+F17*F$4+G17*G$4+H17*$H$4+I17*I$4+J17*J$4+K17*K$4+L17*L$4+O17*O$4+Q17*Q$4+M17*$M$4+N17*$N$4+R17*$R$4+S17*$S$4+T17*$T$4+U17*$U$4+P17*$P$4)/1000</f>
        <v>3.45</v>
      </c>
      <c r="AN17" s="37">
        <f>AM17*D17</f>
        <v>241.5</v>
      </c>
      <c r="AO17" s="61">
        <v>4</v>
      </c>
      <c r="AP17" s="61">
        <v>48.69</v>
      </c>
      <c r="AQ17" s="61">
        <v>2</v>
      </c>
      <c r="AR17" s="61">
        <v>2</v>
      </c>
      <c r="AS17" s="36">
        <f>AN17*VLOOKUP(AO17&amp;"-"&amp;AR17&amp;"F",tabla,2,FALSE)</f>
        <v>0.72083403000000001</v>
      </c>
      <c r="AT17" s="129">
        <f>AS17/2</f>
        <v>0.36041701500000001</v>
      </c>
      <c r="AU17" s="115">
        <f>AT17+AU15</f>
        <v>0.62815536900000002</v>
      </c>
      <c r="AV17" s="111">
        <v>1</v>
      </c>
      <c r="AW17" s="35">
        <v>1</v>
      </c>
      <c r="AX17" s="35"/>
      <c r="AY17" s="35"/>
      <c r="AZ17" s="35"/>
      <c r="BA17" s="61">
        <f>+AV17*D17</f>
        <v>70</v>
      </c>
      <c r="BB17" s="61">
        <f>+AW17*D17</f>
        <v>70</v>
      </c>
      <c r="BC17" s="61">
        <f>+AX17*D17</f>
        <v>0</v>
      </c>
      <c r="BD17" s="61">
        <f>+BC17+BC17</f>
        <v>0</v>
      </c>
      <c r="BE17" s="61"/>
      <c r="BF17" s="61"/>
      <c r="BG17" s="61"/>
      <c r="BH17" s="61"/>
      <c r="BI17" s="61"/>
      <c r="BJ17" s="61"/>
      <c r="BK17" s="61"/>
      <c r="BL17" s="61"/>
      <c r="BM17" s="61"/>
    </row>
    <row r="18" spans="2:65" hidden="1" x14ac:dyDescent="0.2">
      <c r="B18" s="186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07"/>
      <c r="AP18" s="107"/>
      <c r="AQ18" s="107"/>
      <c r="AR18" s="107"/>
      <c r="AS18" s="107"/>
      <c r="AT18" s="107"/>
      <c r="AU18" s="113"/>
      <c r="AV18" s="107"/>
      <c r="AW18" s="107"/>
      <c r="AX18" s="96"/>
      <c r="AY18" s="35"/>
      <c r="AZ18" s="35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</row>
    <row r="19" spans="2:65" hidden="1" x14ac:dyDescent="0.2">
      <c r="B19" s="114"/>
      <c r="C19" s="61"/>
      <c r="D19" s="37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38"/>
      <c r="AN19" s="37"/>
      <c r="AO19" s="61">
        <v>4</v>
      </c>
      <c r="AP19" s="61">
        <v>4</v>
      </c>
      <c r="AQ19" s="61"/>
      <c r="AR19" s="61">
        <v>3</v>
      </c>
      <c r="AS19" s="36">
        <f>AN19*VLOOKUP(AO19&amp;"-"&amp;AR19&amp;"F",tabla,2,FALSE)</f>
        <v>0</v>
      </c>
      <c r="AT19" s="129"/>
      <c r="AU19" s="128">
        <f>AS19+AU17</f>
        <v>0.62815536900000002</v>
      </c>
      <c r="AV19" s="111">
        <v>1</v>
      </c>
      <c r="AW19" s="35">
        <v>1</v>
      </c>
      <c r="AX19" s="35"/>
      <c r="AY19" s="61"/>
      <c r="AZ19" s="61"/>
      <c r="BA19" s="61">
        <f>+AV19*D19</f>
        <v>0</v>
      </c>
      <c r="BB19" s="61">
        <f>+AW19*D19</f>
        <v>0</v>
      </c>
      <c r="BC19" s="61">
        <f>+AX19*D19</f>
        <v>0</v>
      </c>
      <c r="BD19" s="61">
        <f>+BC19+BC19</f>
        <v>0</v>
      </c>
      <c r="BE19" s="61"/>
      <c r="BF19" s="61"/>
      <c r="BG19" s="61"/>
      <c r="BH19" s="61"/>
      <c r="BI19" s="61"/>
      <c r="BJ19" s="61"/>
      <c r="BK19" s="61"/>
      <c r="BL19" s="61"/>
      <c r="BM19" s="61"/>
    </row>
    <row r="20" spans="2:65" hidden="1" x14ac:dyDescent="0.2"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5"/>
      <c r="AP20" s="166"/>
      <c r="AQ20" s="166"/>
      <c r="AR20" s="166"/>
      <c r="AS20" s="166"/>
      <c r="AT20" s="166"/>
      <c r="AU20" s="167"/>
      <c r="AV20" s="174"/>
      <c r="AW20" s="174"/>
      <c r="AX20" s="174"/>
      <c r="AY20" s="35"/>
      <c r="AZ20" s="35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</row>
    <row r="21" spans="2:65" hidden="1" x14ac:dyDescent="0.2">
      <c r="B21" s="114"/>
      <c r="C21" s="61"/>
      <c r="D21" s="37"/>
      <c r="E21" s="61"/>
      <c r="F21" s="61"/>
      <c r="G21" s="35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38"/>
      <c r="AN21" s="37"/>
      <c r="AO21" s="61">
        <v>4</v>
      </c>
      <c r="AP21" s="61">
        <v>4</v>
      </c>
      <c r="AQ21" s="61"/>
      <c r="AR21" s="61">
        <v>3</v>
      </c>
      <c r="AS21" s="36">
        <f>AN21*VLOOKUP(AO21&amp;"-"&amp;AR21&amp;"F",tabla,2,FALSE)</f>
        <v>0</v>
      </c>
      <c r="AT21" s="129"/>
      <c r="AU21" s="128">
        <f>AS21+AU17</f>
        <v>0.62815536900000002</v>
      </c>
      <c r="AV21" s="111">
        <v>1</v>
      </c>
      <c r="AW21" s="35">
        <v>1</v>
      </c>
      <c r="AX21" s="35"/>
      <c r="AY21" s="61"/>
      <c r="AZ21" s="61"/>
      <c r="BA21" s="61">
        <f>+AV21*D21</f>
        <v>0</v>
      </c>
      <c r="BB21" s="61">
        <f>+AW21*D21</f>
        <v>0</v>
      </c>
      <c r="BC21" s="61">
        <f>+AX21*D21</f>
        <v>0</v>
      </c>
      <c r="BD21" s="61">
        <f>+BC21+BC21</f>
        <v>0</v>
      </c>
      <c r="BE21" s="61"/>
      <c r="BF21" s="61"/>
      <c r="BG21" s="61"/>
      <c r="BH21" s="61"/>
      <c r="BI21" s="61"/>
      <c r="BJ21" s="61"/>
      <c r="BK21" s="61"/>
      <c r="BL21" s="61"/>
      <c r="BM21" s="61"/>
    </row>
    <row r="22" spans="2:65" hidden="1" x14ac:dyDescent="0.2"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4"/>
      <c r="AO22" s="165"/>
      <c r="AP22" s="166"/>
      <c r="AQ22" s="166"/>
      <c r="AR22" s="166"/>
      <c r="AS22" s="166"/>
      <c r="AT22" s="166"/>
      <c r="AU22" s="167"/>
      <c r="AV22" s="107"/>
      <c r="AW22" s="107"/>
      <c r="AX22" s="96"/>
      <c r="AY22" s="35"/>
      <c r="AZ22" s="35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</row>
    <row r="23" spans="2:65" ht="12" hidden="1" customHeight="1" x14ac:dyDescent="0.2">
      <c r="B23" s="114"/>
      <c r="C23" s="61"/>
      <c r="D23" s="37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38"/>
      <c r="AN23" s="37"/>
      <c r="AO23" s="61" t="s">
        <v>8</v>
      </c>
      <c r="AP23" s="61" t="s">
        <v>8</v>
      </c>
      <c r="AQ23" s="61"/>
      <c r="AR23" s="61">
        <v>3</v>
      </c>
      <c r="AS23" s="36">
        <f>AN23*VLOOKUP(AO23&amp;"-"&amp;AR23&amp;"F",tabla,2,FALSE)</f>
        <v>0</v>
      </c>
      <c r="AT23" s="129"/>
      <c r="AU23" s="115">
        <f>AS23+AU7</f>
        <v>0.772322175</v>
      </c>
      <c r="AV23" s="111">
        <v>1</v>
      </c>
      <c r="AW23" s="35">
        <v>1</v>
      </c>
      <c r="AX23" s="35"/>
      <c r="AY23" s="35"/>
      <c r="AZ23" s="35"/>
      <c r="BA23" s="61">
        <f>+AV23*D23</f>
        <v>0</v>
      </c>
      <c r="BB23" s="61">
        <f>+AW23*D23</f>
        <v>0</v>
      </c>
      <c r="BC23" s="61">
        <f>+AX23*D23</f>
        <v>0</v>
      </c>
      <c r="BD23" s="61">
        <f>+BC23+BC23</f>
        <v>0</v>
      </c>
      <c r="BE23" s="61"/>
      <c r="BF23" s="61"/>
      <c r="BG23" s="61"/>
      <c r="BH23" s="61"/>
      <c r="BI23" s="61"/>
      <c r="BJ23" s="61"/>
      <c r="BK23" s="61"/>
      <c r="BL23" s="61"/>
      <c r="BM23" s="61"/>
    </row>
    <row r="24" spans="2:65" hidden="1" x14ac:dyDescent="0.2"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4"/>
      <c r="AO24" s="165"/>
      <c r="AP24" s="166"/>
      <c r="AQ24" s="166"/>
      <c r="AR24" s="166"/>
      <c r="AS24" s="166"/>
      <c r="AT24" s="166"/>
      <c r="AU24" s="167"/>
      <c r="AV24" s="107"/>
      <c r="AW24" s="107"/>
      <c r="AX24" s="96"/>
      <c r="AY24" s="35"/>
      <c r="AZ24" s="35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</row>
    <row r="25" spans="2:65" hidden="1" x14ac:dyDescent="0.2">
      <c r="B25" s="114"/>
      <c r="C25" s="61"/>
      <c r="D25" s="37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38"/>
      <c r="AN25" s="37"/>
      <c r="AO25" s="61">
        <v>4</v>
      </c>
      <c r="AP25" s="61">
        <v>4</v>
      </c>
      <c r="AQ25" s="61"/>
      <c r="AR25" s="61">
        <v>3</v>
      </c>
      <c r="AS25" s="36">
        <f>AN25*VLOOKUP(AO25&amp;"-"&amp;AR25&amp;"F",tabla,2,FALSE)</f>
        <v>0</v>
      </c>
      <c r="AT25" s="129"/>
      <c r="AU25" s="128">
        <f>AS25+AU23</f>
        <v>0.772322175</v>
      </c>
      <c r="AV25" s="111">
        <v>1</v>
      </c>
      <c r="AW25" s="35">
        <v>1</v>
      </c>
      <c r="AX25" s="35"/>
      <c r="AY25" s="35"/>
      <c r="AZ25" s="35"/>
      <c r="BA25" s="61">
        <f>+AV25*D25</f>
        <v>0</v>
      </c>
      <c r="BB25" s="61">
        <f>+AW25*D25</f>
        <v>0</v>
      </c>
      <c r="BC25" s="61">
        <f>+AX25*D25</f>
        <v>0</v>
      </c>
      <c r="BD25" s="61">
        <f>+BC25+BC25</f>
        <v>0</v>
      </c>
      <c r="BE25" s="61"/>
      <c r="BF25" s="61"/>
      <c r="BG25" s="61"/>
      <c r="BH25" s="61"/>
      <c r="BI25" s="61"/>
      <c r="BJ25" s="61"/>
      <c r="BK25" s="61"/>
      <c r="BL25" s="61"/>
      <c r="BM25" s="61"/>
    </row>
    <row r="26" spans="2:65" hidden="1" x14ac:dyDescent="0.2"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4"/>
      <c r="AO26" s="165"/>
      <c r="AP26" s="166"/>
      <c r="AQ26" s="166"/>
      <c r="AR26" s="166"/>
      <c r="AS26" s="166"/>
      <c r="AT26" s="166"/>
      <c r="AU26" s="167"/>
      <c r="AV26" s="166"/>
      <c r="AW26" s="166"/>
      <c r="AX26" s="188"/>
      <c r="AY26" s="35"/>
      <c r="AZ26" s="35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</row>
    <row r="27" spans="2:65" hidden="1" x14ac:dyDescent="0.2">
      <c r="B27" s="114"/>
      <c r="C27" s="61"/>
      <c r="D27" s="37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38"/>
      <c r="AN27" s="37"/>
      <c r="AO27" s="61">
        <v>4</v>
      </c>
      <c r="AP27" s="61">
        <v>4</v>
      </c>
      <c r="AQ27" s="61"/>
      <c r="AR27" s="61">
        <v>3</v>
      </c>
      <c r="AS27" s="36">
        <f>AN27*VLOOKUP(AO27&amp;"-"&amp;AR27&amp;"F",tabla,2,FALSE)</f>
        <v>0</v>
      </c>
      <c r="AT27" s="129"/>
      <c r="AU27" s="115">
        <f>AS27+AU25</f>
        <v>0.772322175</v>
      </c>
      <c r="AV27" s="111">
        <v>1</v>
      </c>
      <c r="AW27" s="35">
        <v>1</v>
      </c>
      <c r="AX27" s="35"/>
      <c r="AY27" s="35"/>
      <c r="AZ27" s="35"/>
      <c r="BA27" s="61">
        <f>+AV27*D27</f>
        <v>0</v>
      </c>
      <c r="BB27" s="61">
        <f>+AW27*D27</f>
        <v>0</v>
      </c>
      <c r="BC27" s="61">
        <f>+AX27*D27</f>
        <v>0</v>
      </c>
      <c r="BD27" s="61">
        <f>+BC27+BC27</f>
        <v>0</v>
      </c>
      <c r="BE27" s="61"/>
      <c r="BF27" s="61"/>
      <c r="BG27" s="61"/>
      <c r="BH27" s="61"/>
      <c r="BI27" s="61"/>
      <c r="BJ27" s="61"/>
      <c r="BK27" s="61"/>
      <c r="BL27" s="61"/>
      <c r="BM27" s="61"/>
    </row>
    <row r="28" spans="2:65" hidden="1" x14ac:dyDescent="0.2"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4"/>
      <c r="AO28" s="165"/>
      <c r="AP28" s="166"/>
      <c r="AQ28" s="166"/>
      <c r="AR28" s="166"/>
      <c r="AS28" s="166"/>
      <c r="AT28" s="166"/>
      <c r="AU28" s="167"/>
      <c r="AV28" s="107"/>
      <c r="AW28" s="107"/>
      <c r="AX28" s="96"/>
      <c r="AY28" s="35"/>
      <c r="AZ28" s="35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</row>
    <row r="29" spans="2:65" hidden="1" x14ac:dyDescent="0.2">
      <c r="B29" s="114"/>
      <c r="C29" s="61"/>
      <c r="D29" s="3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38"/>
      <c r="AN29" s="37"/>
      <c r="AO29" s="61">
        <v>4</v>
      </c>
      <c r="AP29" s="61">
        <v>4</v>
      </c>
      <c r="AQ29" s="61"/>
      <c r="AR29" s="61">
        <v>1</v>
      </c>
      <c r="AS29" s="36">
        <f>AN29*VLOOKUP(AO29&amp;"-"&amp;AR29&amp;"F",tabla,2,FALSE)</f>
        <v>0</v>
      </c>
      <c r="AT29" s="129"/>
      <c r="AU29" s="115">
        <f>AS29+AU27</f>
        <v>0.772322175</v>
      </c>
      <c r="AV29" s="111">
        <v>1</v>
      </c>
      <c r="AW29" s="35">
        <v>1</v>
      </c>
      <c r="AX29" s="35"/>
      <c r="AY29" s="35"/>
      <c r="AZ29" s="35"/>
      <c r="BA29" s="61">
        <f>+AV29*D29</f>
        <v>0</v>
      </c>
      <c r="BB29" s="61">
        <f>+AW29*D29</f>
        <v>0</v>
      </c>
      <c r="BC29" s="61">
        <f>+AX29*D29</f>
        <v>0</v>
      </c>
      <c r="BD29" s="61">
        <f>+BC29+BC29</f>
        <v>0</v>
      </c>
      <c r="BE29" s="61"/>
      <c r="BF29" s="61"/>
      <c r="BG29" s="61"/>
      <c r="BH29" s="61"/>
      <c r="BI29" s="61"/>
      <c r="BJ29" s="61"/>
      <c r="BK29" s="61"/>
      <c r="BL29" s="61"/>
      <c r="BM29" s="61"/>
    </row>
    <row r="30" spans="2:65" hidden="1" x14ac:dyDescent="0.2">
      <c r="B30" s="186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07"/>
      <c r="AP30" s="107"/>
      <c r="AQ30" s="107"/>
      <c r="AR30" s="107"/>
      <c r="AS30" s="107"/>
      <c r="AT30" s="107"/>
      <c r="AU30" s="113"/>
      <c r="AV30" s="107"/>
      <c r="AW30" s="107"/>
      <c r="AX30" s="96"/>
      <c r="AY30" s="35"/>
      <c r="AZ30" s="35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</row>
    <row r="31" spans="2:65" hidden="1" x14ac:dyDescent="0.2">
      <c r="B31" s="114"/>
      <c r="C31" s="61"/>
      <c r="D31" s="3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38"/>
      <c r="AN31" s="37"/>
      <c r="AO31" s="61">
        <v>4</v>
      </c>
      <c r="AP31" s="61">
        <v>4</v>
      </c>
      <c r="AQ31" s="61"/>
      <c r="AR31" s="61">
        <v>1</v>
      </c>
      <c r="AS31" s="36">
        <f>AN31*VLOOKUP(AO31&amp;"-"&amp;AR31&amp;"F",tabla,2,FALSE)</f>
        <v>0</v>
      </c>
      <c r="AT31" s="129"/>
      <c r="AU31" s="115">
        <f>AS31+AU29</f>
        <v>0.772322175</v>
      </c>
      <c r="AV31" s="111">
        <v>1</v>
      </c>
      <c r="AW31" s="35">
        <v>1</v>
      </c>
      <c r="AX31" s="35"/>
      <c r="AY31" s="61"/>
      <c r="AZ31" s="61"/>
      <c r="BA31" s="61">
        <f>+AV31*D31</f>
        <v>0</v>
      </c>
      <c r="BB31" s="61">
        <f>+AW31*D31</f>
        <v>0</v>
      </c>
      <c r="BC31" s="61">
        <f>+AX31*D31</f>
        <v>0</v>
      </c>
      <c r="BD31" s="61">
        <f>+BC31+BC31</f>
        <v>0</v>
      </c>
      <c r="BE31" s="61"/>
      <c r="BF31" s="61"/>
      <c r="BG31" s="61"/>
      <c r="BH31" s="61"/>
      <c r="BI31" s="61"/>
      <c r="BJ31" s="61"/>
      <c r="BK31" s="61"/>
      <c r="BL31" s="61"/>
      <c r="BM31" s="61"/>
    </row>
    <row r="32" spans="2:65" hidden="1" x14ac:dyDescent="0.2"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5"/>
      <c r="AP32" s="166"/>
      <c r="AQ32" s="166"/>
      <c r="AR32" s="166"/>
      <c r="AS32" s="166"/>
      <c r="AT32" s="166"/>
      <c r="AU32" s="167"/>
      <c r="AV32" s="174"/>
      <c r="AW32" s="174"/>
      <c r="AX32" s="174"/>
      <c r="AY32" s="35"/>
      <c r="AZ32" s="35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</row>
    <row r="33" spans="2:65" hidden="1" x14ac:dyDescent="0.2">
      <c r="B33" s="114"/>
      <c r="C33" s="61"/>
      <c r="D33" s="37"/>
      <c r="E33" s="61"/>
      <c r="F33" s="61"/>
      <c r="G33" s="35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38"/>
      <c r="AN33" s="37"/>
      <c r="AO33" s="61">
        <v>4</v>
      </c>
      <c r="AP33" s="61">
        <v>4</v>
      </c>
      <c r="AQ33" s="61"/>
      <c r="AR33" s="61">
        <v>1</v>
      </c>
      <c r="AS33" s="36">
        <f>AN33*VLOOKUP(AO33&amp;"-"&amp;AR33&amp;"F",tabla,2,FALSE)</f>
        <v>0</v>
      </c>
      <c r="AT33" s="129"/>
      <c r="AU33" s="128">
        <f>AS33+AU31</f>
        <v>0.772322175</v>
      </c>
      <c r="AV33" s="111">
        <v>1</v>
      </c>
      <c r="AW33" s="35">
        <v>1</v>
      </c>
      <c r="AX33" s="35"/>
      <c r="AY33" s="61"/>
      <c r="AZ33" s="61"/>
      <c r="BA33" s="61">
        <f>+AV33*D33</f>
        <v>0</v>
      </c>
      <c r="BB33" s="61">
        <f>+AW33*D33</f>
        <v>0</v>
      </c>
      <c r="BC33" s="61">
        <f>+AX33*D33</f>
        <v>0</v>
      </c>
      <c r="BD33" s="61">
        <f>+BC33+BC33</f>
        <v>0</v>
      </c>
      <c r="BE33" s="61"/>
      <c r="BF33" s="61"/>
      <c r="BG33" s="61"/>
      <c r="BH33" s="61"/>
      <c r="BI33" s="61"/>
      <c r="BJ33" s="61"/>
      <c r="BK33" s="61"/>
      <c r="BL33" s="61"/>
      <c r="BM33" s="61"/>
    </row>
    <row r="34" spans="2:65" hidden="1" x14ac:dyDescent="0.2"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4"/>
      <c r="AO34" s="165"/>
      <c r="AP34" s="166"/>
      <c r="AQ34" s="166"/>
      <c r="AR34" s="166"/>
      <c r="AS34" s="166"/>
      <c r="AT34" s="166"/>
      <c r="AU34" s="167"/>
      <c r="AV34" s="107"/>
      <c r="AW34" s="107"/>
      <c r="AX34" s="96"/>
      <c r="AY34" s="35"/>
      <c r="AZ34" s="35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</row>
    <row r="35" spans="2:65" hidden="1" x14ac:dyDescent="0.2">
      <c r="B35" s="114"/>
      <c r="C35" s="61"/>
      <c r="D35" s="3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38"/>
      <c r="AN35" s="37"/>
      <c r="AO35" s="61">
        <v>4</v>
      </c>
      <c r="AP35" s="61">
        <v>4</v>
      </c>
      <c r="AQ35" s="61"/>
      <c r="AR35" s="61">
        <v>1</v>
      </c>
      <c r="AS35" s="36">
        <f>AN35*VLOOKUP(AO35&amp;"-"&amp;AR35&amp;"F",tabla,2,FALSE)</f>
        <v>0</v>
      </c>
      <c r="AT35" s="129"/>
      <c r="AU35" s="115">
        <f>AS35+AU33</f>
        <v>0.772322175</v>
      </c>
      <c r="AV35" s="111">
        <v>1</v>
      </c>
      <c r="AW35" s="35">
        <v>1</v>
      </c>
      <c r="AX35" s="35"/>
      <c r="AY35" s="35"/>
      <c r="AZ35" s="35"/>
      <c r="BA35" s="61">
        <f>+AV35*D35</f>
        <v>0</v>
      </c>
      <c r="BB35" s="61">
        <f>+AW35*D35</f>
        <v>0</v>
      </c>
      <c r="BC35" s="61">
        <f>+AX35*D35</f>
        <v>0</v>
      </c>
      <c r="BD35" s="61">
        <f>+BC35+BC35</f>
        <v>0</v>
      </c>
      <c r="BE35" s="61"/>
      <c r="BF35" s="61"/>
      <c r="BG35" s="61"/>
      <c r="BH35" s="61"/>
      <c r="BI35" s="61"/>
      <c r="BJ35" s="61"/>
      <c r="BK35" s="61"/>
      <c r="BL35" s="61"/>
      <c r="BM35" s="61"/>
    </row>
    <row r="36" spans="2:65" hidden="1" x14ac:dyDescent="0.2"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4"/>
      <c r="AO36" s="165"/>
      <c r="AP36" s="166"/>
      <c r="AQ36" s="166"/>
      <c r="AR36" s="166"/>
      <c r="AS36" s="166"/>
      <c r="AT36" s="166"/>
      <c r="AU36" s="167"/>
      <c r="AV36" s="107"/>
      <c r="AW36" s="107"/>
      <c r="AX36" s="96"/>
      <c r="AY36" s="35"/>
      <c r="AZ36" s="35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</row>
    <row r="37" spans="2:65" hidden="1" x14ac:dyDescent="0.2">
      <c r="B37" s="114"/>
      <c r="C37" s="61"/>
      <c r="D37" s="3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38"/>
      <c r="AN37" s="37"/>
      <c r="AO37" s="61">
        <v>4</v>
      </c>
      <c r="AP37" s="61">
        <v>4</v>
      </c>
      <c r="AQ37" s="61"/>
      <c r="AR37" s="61">
        <v>1</v>
      </c>
      <c r="AS37" s="36">
        <f>AN37*VLOOKUP(AO37&amp;"-"&amp;AR37&amp;"F",tabla,2,FALSE)</f>
        <v>0</v>
      </c>
      <c r="AT37" s="129"/>
      <c r="AU37" s="128">
        <f>AS37+AU35</f>
        <v>0.772322175</v>
      </c>
      <c r="AV37" s="111">
        <v>1</v>
      </c>
      <c r="AW37" s="35">
        <v>1</v>
      </c>
      <c r="AX37" s="35"/>
      <c r="AY37" s="35"/>
      <c r="AZ37" s="35"/>
      <c r="BA37" s="61">
        <f>+AV37*D37</f>
        <v>0</v>
      </c>
      <c r="BB37" s="61">
        <f>+AW37*D37</f>
        <v>0</v>
      </c>
      <c r="BC37" s="61">
        <f>+AX37*D37</f>
        <v>0</v>
      </c>
      <c r="BD37" s="61">
        <f>+BC37+BC37</f>
        <v>0</v>
      </c>
      <c r="BE37" s="61"/>
      <c r="BF37" s="61"/>
      <c r="BG37" s="61"/>
      <c r="BH37" s="61"/>
      <c r="BI37" s="61"/>
      <c r="BJ37" s="61"/>
      <c r="BK37" s="61"/>
      <c r="BL37" s="61"/>
      <c r="BM37" s="61"/>
    </row>
    <row r="38" spans="2:65" hidden="1" x14ac:dyDescent="0.2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4"/>
      <c r="AO38" s="165"/>
      <c r="AP38" s="166"/>
      <c r="AQ38" s="166"/>
      <c r="AR38" s="166"/>
      <c r="AS38" s="166"/>
      <c r="AT38" s="166"/>
      <c r="AU38" s="167"/>
      <c r="AV38" s="166"/>
      <c r="AW38" s="166"/>
      <c r="AX38" s="188"/>
      <c r="AY38" s="35"/>
      <c r="AZ38" s="35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</row>
    <row r="39" spans="2:65" hidden="1" x14ac:dyDescent="0.2">
      <c r="B39" s="114"/>
      <c r="C39" s="61"/>
      <c r="D39" s="37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38"/>
      <c r="AN39" s="37"/>
      <c r="AO39" s="61">
        <v>4</v>
      </c>
      <c r="AP39" s="61">
        <v>4</v>
      </c>
      <c r="AQ39" s="61"/>
      <c r="AR39" s="61">
        <v>1</v>
      </c>
      <c r="AS39" s="36">
        <f>AN39*VLOOKUP(AO39&amp;"-"&amp;AR39&amp;"F",tabla,2,FALSE)</f>
        <v>0</v>
      </c>
      <c r="AT39" s="129"/>
      <c r="AU39" s="116">
        <f>AS39+AU37</f>
        <v>0.772322175</v>
      </c>
      <c r="AV39" s="111">
        <v>1</v>
      </c>
      <c r="AW39" s="35">
        <v>1</v>
      </c>
      <c r="AX39" s="35"/>
      <c r="AY39" s="35"/>
      <c r="AZ39" s="35"/>
      <c r="BA39" s="61">
        <f>+AV39*D39</f>
        <v>0</v>
      </c>
      <c r="BB39" s="61">
        <f>+AW39*D39</f>
        <v>0</v>
      </c>
      <c r="BC39" s="61">
        <f>+AX39*D39</f>
        <v>0</v>
      </c>
      <c r="BD39" s="61">
        <f>+BC39+BC39</f>
        <v>0</v>
      </c>
      <c r="BE39" s="61"/>
      <c r="BF39" s="61"/>
      <c r="BG39" s="61"/>
      <c r="BH39" s="61"/>
      <c r="BI39" s="61"/>
      <c r="BJ39" s="61"/>
      <c r="BK39" s="61"/>
      <c r="BL39" s="61"/>
      <c r="BM39" s="61"/>
    </row>
    <row r="40" spans="2:65" hidden="1" x14ac:dyDescent="0.2"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4"/>
      <c r="AO40" s="165"/>
      <c r="AP40" s="166"/>
      <c r="AQ40" s="166"/>
      <c r="AR40" s="166"/>
      <c r="AS40" s="166"/>
      <c r="AT40" s="166"/>
      <c r="AU40" s="167"/>
      <c r="AV40" s="107"/>
      <c r="AW40" s="107"/>
      <c r="AX40" s="96"/>
      <c r="AY40" s="35"/>
      <c r="AZ40" s="35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</row>
    <row r="41" spans="2:65" hidden="1" x14ac:dyDescent="0.2">
      <c r="B41" s="114"/>
      <c r="C41" s="61"/>
      <c r="D41" s="37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38"/>
      <c r="AN41" s="37"/>
      <c r="AO41" s="61">
        <v>4</v>
      </c>
      <c r="AP41" s="61">
        <v>4</v>
      </c>
      <c r="AQ41" s="61"/>
      <c r="AR41" s="61">
        <v>1</v>
      </c>
      <c r="AS41" s="36">
        <f>AN41*VLOOKUP(AO41&amp;"-"&amp;AR41&amp;"F",tabla,2,FALSE)</f>
        <v>0</v>
      </c>
      <c r="AT41" s="129"/>
      <c r="AU41" s="115">
        <f>AS41+AU39</f>
        <v>0.772322175</v>
      </c>
      <c r="AV41" s="111">
        <v>1</v>
      </c>
      <c r="AW41" s="35">
        <v>1</v>
      </c>
      <c r="AX41" s="35"/>
      <c r="AY41" s="35"/>
      <c r="AZ41" s="35"/>
      <c r="BA41" s="61">
        <f>+AV41*D41</f>
        <v>0</v>
      </c>
      <c r="BB41" s="61">
        <f>+AW41*D41</f>
        <v>0</v>
      </c>
      <c r="BC41" s="61">
        <f>+AX41*D41</f>
        <v>0</v>
      </c>
      <c r="BD41" s="61">
        <f>+BC41+BC41</f>
        <v>0</v>
      </c>
      <c r="BE41" s="61"/>
      <c r="BF41" s="61"/>
      <c r="BG41" s="61"/>
      <c r="BH41" s="61"/>
      <c r="BI41" s="61"/>
      <c r="BJ41" s="61"/>
      <c r="BK41" s="61"/>
      <c r="BL41" s="61"/>
      <c r="BM41" s="61"/>
    </row>
    <row r="42" spans="2:65" hidden="1" x14ac:dyDescent="0.2"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5"/>
      <c r="AP42" s="166"/>
      <c r="AQ42" s="166"/>
      <c r="AR42" s="166"/>
      <c r="AS42" s="166"/>
      <c r="AT42" s="166"/>
      <c r="AU42" s="167"/>
      <c r="AV42" s="174"/>
      <c r="AW42" s="174"/>
      <c r="AX42" s="174"/>
      <c r="AY42" s="35"/>
      <c r="AZ42" s="35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</row>
    <row r="43" spans="2:65" hidden="1" x14ac:dyDescent="0.2">
      <c r="B43" s="114"/>
      <c r="C43" s="61"/>
      <c r="D43" s="37"/>
      <c r="E43" s="61"/>
      <c r="F43" s="61"/>
      <c r="G43" s="35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38"/>
      <c r="AN43" s="37"/>
      <c r="AO43" s="61">
        <v>4</v>
      </c>
      <c r="AP43" s="61">
        <v>4</v>
      </c>
      <c r="AQ43" s="61"/>
      <c r="AR43" s="61">
        <v>1</v>
      </c>
      <c r="AS43" s="36">
        <f>AN43*VLOOKUP(AO43&amp;"-"&amp;AR43&amp;"F",tabla,2,FALSE)</f>
        <v>0</v>
      </c>
      <c r="AT43" s="129"/>
      <c r="AU43" s="115">
        <f>AS43+AU41</f>
        <v>0.772322175</v>
      </c>
      <c r="AV43" s="111">
        <v>1</v>
      </c>
      <c r="AW43" s="35">
        <v>1</v>
      </c>
      <c r="AX43" s="35"/>
      <c r="AY43" s="61"/>
      <c r="AZ43" s="61"/>
      <c r="BA43" s="61">
        <f>+AV43*D43</f>
        <v>0</v>
      </c>
      <c r="BB43" s="61">
        <f>+AW43*D43</f>
        <v>0</v>
      </c>
      <c r="BC43" s="61">
        <f>+AX43*D43</f>
        <v>0</v>
      </c>
      <c r="BD43" s="61">
        <f>+BC43+BC43</f>
        <v>0</v>
      </c>
      <c r="BE43" s="61"/>
      <c r="BF43" s="61"/>
      <c r="BG43" s="61"/>
      <c r="BH43" s="61"/>
      <c r="BI43" s="61"/>
      <c r="BJ43" s="61"/>
      <c r="BK43" s="61"/>
      <c r="BL43" s="61"/>
      <c r="BM43" s="61"/>
    </row>
    <row r="44" spans="2:65" hidden="1" x14ac:dyDescent="0.2"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4"/>
      <c r="AO44" s="165"/>
      <c r="AP44" s="166"/>
      <c r="AQ44" s="166"/>
      <c r="AR44" s="166"/>
      <c r="AS44" s="166"/>
      <c r="AT44" s="166"/>
      <c r="AU44" s="167"/>
      <c r="AV44" s="107"/>
      <c r="AW44" s="107"/>
      <c r="AX44" s="96"/>
      <c r="AY44" s="35"/>
      <c r="AZ44" s="35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</row>
    <row r="45" spans="2:65" hidden="1" x14ac:dyDescent="0.2">
      <c r="B45" s="114"/>
      <c r="C45" s="61"/>
      <c r="D45" s="37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38"/>
      <c r="AN45" s="37"/>
      <c r="AO45" s="61">
        <v>4</v>
      </c>
      <c r="AP45" s="61">
        <v>4</v>
      </c>
      <c r="AQ45" s="61"/>
      <c r="AR45" s="61">
        <v>1</v>
      </c>
      <c r="AS45" s="36">
        <f>AN45*VLOOKUP(AO45&amp;"-"&amp;AR45&amp;"F",tabla,2,FALSE)</f>
        <v>0</v>
      </c>
      <c r="AT45" s="129"/>
      <c r="AU45" s="115">
        <f>AS45+AU43</f>
        <v>0.772322175</v>
      </c>
      <c r="AV45" s="111">
        <v>1</v>
      </c>
      <c r="AW45" s="35">
        <v>1</v>
      </c>
      <c r="AX45" s="35"/>
      <c r="AY45" s="35"/>
      <c r="AZ45" s="35"/>
      <c r="BA45" s="61">
        <f>+AV45*D45</f>
        <v>0</v>
      </c>
      <c r="BB45" s="61">
        <f>+AW45*D45</f>
        <v>0</v>
      </c>
      <c r="BC45" s="61">
        <f>+AX45*D45</f>
        <v>0</v>
      </c>
      <c r="BD45" s="61">
        <f>+BC45+BC45</f>
        <v>0</v>
      </c>
      <c r="BE45" s="61"/>
      <c r="BF45" s="61"/>
      <c r="BG45" s="61"/>
      <c r="BH45" s="61"/>
      <c r="BI45" s="61"/>
      <c r="BJ45" s="61"/>
      <c r="BK45" s="61"/>
      <c r="BL45" s="61"/>
      <c r="BM45" s="61"/>
    </row>
    <row r="46" spans="2:65" hidden="1" x14ac:dyDescent="0.2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4"/>
      <c r="AO46" s="165"/>
      <c r="AP46" s="166"/>
      <c r="AQ46" s="166"/>
      <c r="AR46" s="166"/>
      <c r="AS46" s="166"/>
      <c r="AT46" s="166"/>
      <c r="AU46" s="167"/>
      <c r="AV46" s="107"/>
      <c r="AW46" s="107"/>
      <c r="AX46" s="96"/>
      <c r="AY46" s="35"/>
      <c r="AZ46" s="35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</row>
    <row r="47" spans="2:65" hidden="1" x14ac:dyDescent="0.2">
      <c r="B47" s="114"/>
      <c r="C47" s="61"/>
      <c r="D47" s="37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38"/>
      <c r="AN47" s="37"/>
      <c r="AO47" s="61">
        <v>4</v>
      </c>
      <c r="AP47" s="61">
        <v>4</v>
      </c>
      <c r="AQ47" s="61"/>
      <c r="AR47" s="61">
        <v>1</v>
      </c>
      <c r="AS47" s="36">
        <f>AN47*VLOOKUP(AO47&amp;"-"&amp;AR47&amp;"F",tabla,2,FALSE)</f>
        <v>0</v>
      </c>
      <c r="AT47" s="129"/>
      <c r="AU47" s="115">
        <f>AS47+AU43</f>
        <v>0.772322175</v>
      </c>
      <c r="AV47" s="111">
        <v>1</v>
      </c>
      <c r="AW47" s="35">
        <v>1</v>
      </c>
      <c r="AX47" s="35"/>
      <c r="AY47" s="35"/>
      <c r="AZ47" s="35"/>
      <c r="BA47" s="61">
        <f>+AV47*D47</f>
        <v>0</v>
      </c>
      <c r="BB47" s="61">
        <f>+AW47*D47</f>
        <v>0</v>
      </c>
      <c r="BC47" s="61">
        <f>+AX47*D47</f>
        <v>0</v>
      </c>
      <c r="BD47" s="61">
        <f>+BC47+BC47</f>
        <v>0</v>
      </c>
      <c r="BE47" s="61"/>
      <c r="BF47" s="61"/>
      <c r="BG47" s="61"/>
      <c r="BH47" s="61"/>
      <c r="BI47" s="61"/>
      <c r="BJ47" s="61"/>
      <c r="BK47" s="61"/>
      <c r="BL47" s="61"/>
      <c r="BM47" s="61"/>
    </row>
    <row r="48" spans="2:65" hidden="1" x14ac:dyDescent="0.2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4"/>
      <c r="AO48" s="165"/>
      <c r="AP48" s="166"/>
      <c r="AQ48" s="166"/>
      <c r="AR48" s="166"/>
      <c r="AS48" s="166"/>
      <c r="AT48" s="166"/>
      <c r="AU48" s="167"/>
      <c r="AV48" s="166"/>
      <c r="AW48" s="166"/>
      <c r="AX48" s="188"/>
      <c r="AY48" s="35"/>
      <c r="AZ48" s="35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</row>
    <row r="49" spans="2:65" hidden="1" x14ac:dyDescent="0.2">
      <c r="B49" s="114"/>
      <c r="C49" s="61"/>
      <c r="D49" s="37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38"/>
      <c r="AN49" s="37"/>
      <c r="AO49" s="61">
        <v>4</v>
      </c>
      <c r="AP49" s="61">
        <v>4</v>
      </c>
      <c r="AQ49" s="61"/>
      <c r="AR49" s="61">
        <v>1</v>
      </c>
      <c r="AS49" s="36">
        <f>AN49*VLOOKUP(AO49&amp;"-"&amp;AR49&amp;"F",tabla,2,FALSE)</f>
        <v>0</v>
      </c>
      <c r="AT49" s="129"/>
      <c r="AU49" s="115">
        <f>AS49+AU47</f>
        <v>0.772322175</v>
      </c>
      <c r="AV49" s="111">
        <v>1</v>
      </c>
      <c r="AW49" s="35">
        <v>1</v>
      </c>
      <c r="AX49" s="35"/>
      <c r="AY49" s="35"/>
      <c r="AZ49" s="35"/>
      <c r="BA49" s="61">
        <f>+AV49*D49</f>
        <v>0</v>
      </c>
      <c r="BB49" s="61">
        <f>+AW49*D49</f>
        <v>0</v>
      </c>
      <c r="BC49" s="61">
        <f>+AX49*D49</f>
        <v>0</v>
      </c>
      <c r="BD49" s="61">
        <f>+BC49+BC49</f>
        <v>0</v>
      </c>
      <c r="BE49" s="61"/>
      <c r="BF49" s="61"/>
      <c r="BG49" s="61"/>
      <c r="BH49" s="61"/>
      <c r="BI49" s="61"/>
      <c r="BJ49" s="61"/>
      <c r="BK49" s="61"/>
      <c r="BL49" s="61"/>
      <c r="BM49" s="61"/>
    </row>
    <row r="50" spans="2:65" hidden="1" x14ac:dyDescent="0.2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4"/>
      <c r="AO50" s="165"/>
      <c r="AP50" s="166"/>
      <c r="AQ50" s="166"/>
      <c r="AR50" s="166"/>
      <c r="AS50" s="166"/>
      <c r="AT50" s="166"/>
      <c r="AU50" s="167"/>
      <c r="AV50" s="107"/>
      <c r="AW50" s="107"/>
      <c r="AX50" s="96"/>
      <c r="AY50" s="35"/>
      <c r="AZ50" s="35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</row>
    <row r="51" spans="2:65" hidden="1" x14ac:dyDescent="0.2">
      <c r="B51" s="114"/>
      <c r="C51" s="61"/>
      <c r="D51" s="37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38"/>
      <c r="AN51" s="37"/>
      <c r="AO51" s="61">
        <v>4</v>
      </c>
      <c r="AP51" s="61">
        <v>4</v>
      </c>
      <c r="AQ51" s="61"/>
      <c r="AR51" s="61">
        <v>1</v>
      </c>
      <c r="AS51" s="36">
        <f>AN51*VLOOKUP(AO51&amp;"-"&amp;AR51&amp;"F",tabla,2,FALSE)</f>
        <v>0</v>
      </c>
      <c r="AT51" s="129"/>
      <c r="AU51" s="115">
        <f>AS51+AU41</f>
        <v>0.772322175</v>
      </c>
      <c r="AV51" s="111">
        <v>1</v>
      </c>
      <c r="AW51" s="35">
        <v>1</v>
      </c>
      <c r="AX51" s="35"/>
      <c r="AY51" s="35"/>
      <c r="AZ51" s="35"/>
      <c r="BA51" s="61">
        <f>+AV51*D51</f>
        <v>0</v>
      </c>
      <c r="BB51" s="61">
        <f>+AW51*D51</f>
        <v>0</v>
      </c>
      <c r="BC51" s="61">
        <f>+AX51*D51</f>
        <v>0</v>
      </c>
      <c r="BD51" s="61">
        <f>+BC51+BC51</f>
        <v>0</v>
      </c>
      <c r="BE51" s="61"/>
      <c r="BF51" s="61"/>
      <c r="BG51" s="61"/>
      <c r="BH51" s="61"/>
      <c r="BI51" s="61"/>
      <c r="BJ51" s="61"/>
      <c r="BK51" s="61"/>
      <c r="BL51" s="61"/>
      <c r="BM51" s="61"/>
    </row>
    <row r="52" spans="2:65" hidden="1" x14ac:dyDescent="0.2"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5"/>
      <c r="AP52" s="166"/>
      <c r="AQ52" s="166"/>
      <c r="AR52" s="166"/>
      <c r="AS52" s="166"/>
      <c r="AT52" s="166"/>
      <c r="AU52" s="167"/>
      <c r="AV52" s="174"/>
      <c r="AW52" s="174"/>
      <c r="AX52" s="174"/>
      <c r="AY52" s="35"/>
      <c r="AZ52" s="35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</row>
    <row r="53" spans="2:65" hidden="1" x14ac:dyDescent="0.2">
      <c r="B53" s="114"/>
      <c r="C53" s="61"/>
      <c r="D53" s="37"/>
      <c r="E53" s="61"/>
      <c r="F53" s="61"/>
      <c r="G53" s="35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38"/>
      <c r="AN53" s="37"/>
      <c r="AO53" s="61">
        <v>4</v>
      </c>
      <c r="AP53" s="61">
        <v>4</v>
      </c>
      <c r="AQ53" s="61"/>
      <c r="AR53" s="61">
        <v>1</v>
      </c>
      <c r="AS53" s="36">
        <f>AN53*VLOOKUP(AO53&amp;"-"&amp;AR53&amp;"F",tabla,2,FALSE)</f>
        <v>0</v>
      </c>
      <c r="AT53" s="129"/>
      <c r="AU53" s="115">
        <f>AS53+AU51</f>
        <v>0.772322175</v>
      </c>
      <c r="AV53" s="111">
        <v>1</v>
      </c>
      <c r="AW53" s="35">
        <v>1</v>
      </c>
      <c r="AX53" s="35"/>
      <c r="AY53" s="61"/>
      <c r="AZ53" s="61"/>
      <c r="BA53" s="61">
        <f>+AV53*D53</f>
        <v>0</v>
      </c>
      <c r="BB53" s="61">
        <f>+AW53*D53</f>
        <v>0</v>
      </c>
      <c r="BC53" s="61">
        <f>+AX53*D53</f>
        <v>0</v>
      </c>
      <c r="BD53" s="61">
        <f>+BC53+BC53</f>
        <v>0</v>
      </c>
      <c r="BE53" s="61"/>
      <c r="BF53" s="61"/>
      <c r="BG53" s="61"/>
      <c r="BH53" s="61"/>
      <c r="BI53" s="61"/>
      <c r="BJ53" s="61"/>
      <c r="BK53" s="61"/>
      <c r="BL53" s="61"/>
      <c r="BM53" s="61"/>
    </row>
    <row r="54" spans="2:65" hidden="1" x14ac:dyDescent="0.2"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4"/>
      <c r="AO54" s="165"/>
      <c r="AP54" s="166"/>
      <c r="AQ54" s="166"/>
      <c r="AR54" s="166"/>
      <c r="AS54" s="166"/>
      <c r="AT54" s="166"/>
      <c r="AU54" s="167"/>
      <c r="AV54" s="107"/>
      <c r="AW54" s="107"/>
      <c r="AX54" s="96"/>
      <c r="AY54" s="35"/>
      <c r="AZ54" s="35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</row>
    <row r="55" spans="2:65" hidden="1" x14ac:dyDescent="0.2">
      <c r="B55" s="114"/>
      <c r="C55" s="61"/>
      <c r="D55" s="37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38"/>
      <c r="AN55" s="37"/>
      <c r="AO55" s="61">
        <v>4</v>
      </c>
      <c r="AP55" s="61">
        <v>4</v>
      </c>
      <c r="AQ55" s="61"/>
      <c r="AR55" s="61">
        <v>1</v>
      </c>
      <c r="AS55" s="36">
        <f>AN55*VLOOKUP(AO55&amp;"-"&amp;AR55&amp;"F",tabla,2,FALSE)</f>
        <v>0</v>
      </c>
      <c r="AT55" s="129"/>
      <c r="AU55" s="115">
        <f>AS55+AU53</f>
        <v>0.772322175</v>
      </c>
      <c r="AV55" s="111">
        <v>1</v>
      </c>
      <c r="AW55" s="35">
        <v>1</v>
      </c>
      <c r="AX55" s="35"/>
      <c r="AY55" s="35"/>
      <c r="AZ55" s="35"/>
      <c r="BA55" s="61">
        <f>+AV55*D55</f>
        <v>0</v>
      </c>
      <c r="BB55" s="61">
        <f>+AW55*D55</f>
        <v>0</v>
      </c>
      <c r="BC55" s="61">
        <f>+AX55*D55</f>
        <v>0</v>
      </c>
      <c r="BD55" s="61">
        <f>+BC55+BC55</f>
        <v>0</v>
      </c>
      <c r="BE55" s="61"/>
      <c r="BF55" s="61"/>
      <c r="BG55" s="61"/>
      <c r="BH55" s="61"/>
      <c r="BI55" s="61"/>
      <c r="BJ55" s="61"/>
      <c r="BK55" s="61"/>
      <c r="BL55" s="61"/>
      <c r="BM55" s="61"/>
    </row>
    <row r="56" spans="2:65" hidden="1" x14ac:dyDescent="0.2"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4"/>
      <c r="AO56" s="165"/>
      <c r="AP56" s="166"/>
      <c r="AQ56" s="166"/>
      <c r="AR56" s="166"/>
      <c r="AS56" s="166"/>
      <c r="AT56" s="166"/>
      <c r="AU56" s="167"/>
      <c r="AV56" s="107"/>
      <c r="AW56" s="107"/>
      <c r="AX56" s="96"/>
      <c r="AY56" s="35"/>
      <c r="AZ56" s="35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</row>
    <row r="57" spans="2:65" hidden="1" x14ac:dyDescent="0.2">
      <c r="B57" s="114"/>
      <c r="C57" s="61"/>
      <c r="D57" s="37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38"/>
      <c r="AN57" s="37"/>
      <c r="AO57" s="61">
        <v>4</v>
      </c>
      <c r="AP57" s="61">
        <v>4</v>
      </c>
      <c r="AQ57" s="61"/>
      <c r="AR57" s="61">
        <v>1</v>
      </c>
      <c r="AS57" s="36">
        <f>AN57*VLOOKUP(AO57&amp;"-"&amp;AR57&amp;"F",tabla,2,FALSE)</f>
        <v>0</v>
      </c>
      <c r="AT57" s="129"/>
      <c r="AU57" s="115">
        <f>AS57+AU55</f>
        <v>0.772322175</v>
      </c>
      <c r="AV57" s="111">
        <v>1</v>
      </c>
      <c r="AW57" s="35">
        <v>1</v>
      </c>
      <c r="AX57" s="35"/>
      <c r="AY57" s="35"/>
      <c r="AZ57" s="35"/>
      <c r="BA57" s="61">
        <f>+AV57*D57</f>
        <v>0</v>
      </c>
      <c r="BB57" s="61">
        <f>+AW57*D57</f>
        <v>0</v>
      </c>
      <c r="BC57" s="61">
        <f>+AX57*D57</f>
        <v>0</v>
      </c>
      <c r="BD57" s="61">
        <f>+BC57+BC57</f>
        <v>0</v>
      </c>
      <c r="BE57" s="61"/>
      <c r="BF57" s="61"/>
      <c r="BG57" s="61"/>
      <c r="BH57" s="61"/>
      <c r="BI57" s="61"/>
      <c r="BJ57" s="61"/>
      <c r="BK57" s="61"/>
      <c r="BL57" s="61"/>
      <c r="BM57" s="61"/>
    </row>
    <row r="58" spans="2:65" hidden="1" x14ac:dyDescent="0.2">
      <c r="B58" s="117"/>
      <c r="C58" s="3"/>
      <c r="D58" s="10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104"/>
      <c r="AN58" s="103"/>
      <c r="AO58" s="3"/>
      <c r="AP58" s="3"/>
      <c r="AQ58" s="3"/>
      <c r="AR58" s="3"/>
      <c r="AS58" s="105"/>
      <c r="AT58" s="105"/>
      <c r="AU58" s="118"/>
      <c r="AV58" s="106"/>
      <c r="AW58" s="106"/>
      <c r="AX58" s="106"/>
      <c r="AY58" s="106"/>
      <c r="AZ58" s="106"/>
      <c r="BA58" s="3"/>
      <c r="BB58" s="3"/>
      <c r="BC58" s="3"/>
      <c r="BD58" s="61"/>
      <c r="BE58" s="61"/>
      <c r="BF58" s="61"/>
      <c r="BG58" s="61"/>
      <c r="BH58" s="61"/>
      <c r="BI58" s="61"/>
      <c r="BJ58" s="61"/>
      <c r="BK58" s="61"/>
      <c r="BL58" s="61"/>
      <c r="BM58" s="61"/>
    </row>
    <row r="59" spans="2:65" hidden="1" x14ac:dyDescent="0.2">
      <c r="B59" s="114"/>
      <c r="C59" s="61"/>
      <c r="D59" s="37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38"/>
      <c r="AN59" s="37"/>
      <c r="AO59" s="61">
        <v>4</v>
      </c>
      <c r="AP59" s="61">
        <v>4</v>
      </c>
      <c r="AQ59" s="61"/>
      <c r="AR59" s="61">
        <v>1</v>
      </c>
      <c r="AS59" s="36">
        <f>AN59*VLOOKUP(AO59&amp;"-"&amp;AR59&amp;"F",tabla,2,FALSE)</f>
        <v>0</v>
      </c>
      <c r="AT59" s="129"/>
      <c r="AU59" s="115">
        <f>AS59+AU57</f>
        <v>0.772322175</v>
      </c>
      <c r="AV59" s="111">
        <v>1</v>
      </c>
      <c r="AW59" s="35">
        <v>1</v>
      </c>
      <c r="AX59" s="35"/>
      <c r="AY59" s="35"/>
      <c r="AZ59" s="35"/>
      <c r="BA59" s="61">
        <f>+AV59*D59</f>
        <v>0</v>
      </c>
      <c r="BB59" s="61">
        <f>+AW59*D59</f>
        <v>0</v>
      </c>
      <c r="BC59" s="61">
        <f>+AX59*D59</f>
        <v>0</v>
      </c>
      <c r="BD59" s="61">
        <f>+BC59+BC59</f>
        <v>0</v>
      </c>
      <c r="BE59" s="61"/>
      <c r="BF59" s="61"/>
      <c r="BG59" s="61"/>
      <c r="BH59" s="61"/>
      <c r="BI59" s="61"/>
      <c r="BJ59" s="61"/>
      <c r="BK59" s="61"/>
      <c r="BL59" s="61"/>
      <c r="BM59" s="61"/>
    </row>
    <row r="60" spans="2:65" hidden="1" x14ac:dyDescent="0.2"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5"/>
      <c r="AP60" s="166"/>
      <c r="AQ60" s="166"/>
      <c r="AR60" s="166"/>
      <c r="AS60" s="166"/>
      <c r="AT60" s="166"/>
      <c r="AU60" s="167"/>
      <c r="AV60" s="174"/>
      <c r="AW60" s="174"/>
      <c r="AX60" s="174"/>
      <c r="AY60" s="35"/>
      <c r="AZ60" s="35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</row>
    <row r="61" spans="2:65" hidden="1" x14ac:dyDescent="0.2">
      <c r="B61" s="114"/>
      <c r="C61" s="61"/>
      <c r="D61" s="37"/>
      <c r="E61" s="61"/>
      <c r="F61" s="61"/>
      <c r="G61" s="35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38"/>
      <c r="AN61" s="37"/>
      <c r="AO61" s="61">
        <v>4</v>
      </c>
      <c r="AP61" s="61">
        <v>4</v>
      </c>
      <c r="AQ61" s="61"/>
      <c r="AR61" s="61">
        <v>1</v>
      </c>
      <c r="AS61" s="36">
        <f>AN61*VLOOKUP(AO61&amp;"-"&amp;AR61&amp;"F",tabla,2,FALSE)</f>
        <v>0</v>
      </c>
      <c r="AT61" s="129"/>
      <c r="AU61" s="115">
        <f>AS61+AU59</f>
        <v>0.772322175</v>
      </c>
      <c r="AV61" s="111">
        <v>1</v>
      </c>
      <c r="AW61" s="35">
        <v>1</v>
      </c>
      <c r="AX61" s="35"/>
      <c r="AY61" s="61"/>
      <c r="AZ61" s="61"/>
      <c r="BA61" s="61">
        <f>+AV61*D61</f>
        <v>0</v>
      </c>
      <c r="BB61" s="61">
        <f>+AW61*D61</f>
        <v>0</v>
      </c>
      <c r="BC61" s="61">
        <f>+AX61*D61</f>
        <v>0</v>
      </c>
      <c r="BD61" s="61">
        <f>+BC61+BC61</f>
        <v>0</v>
      </c>
      <c r="BE61" s="61"/>
      <c r="BF61" s="61"/>
      <c r="BG61" s="61"/>
      <c r="BH61" s="61"/>
      <c r="BI61" s="61"/>
      <c r="BJ61" s="61"/>
      <c r="BK61" s="61"/>
      <c r="BL61" s="61"/>
      <c r="BM61" s="61"/>
    </row>
    <row r="62" spans="2:65" hidden="1" x14ac:dyDescent="0.2"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4"/>
      <c r="AO62" s="165"/>
      <c r="AP62" s="166"/>
      <c r="AQ62" s="166"/>
      <c r="AR62" s="166"/>
      <c r="AS62" s="166"/>
      <c r="AT62" s="166"/>
      <c r="AU62" s="167"/>
      <c r="AV62" s="107"/>
      <c r="AW62" s="107"/>
      <c r="AX62" s="96"/>
      <c r="AY62" s="35"/>
      <c r="AZ62" s="35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</row>
    <row r="63" spans="2:65" hidden="1" x14ac:dyDescent="0.2">
      <c r="B63" s="114"/>
      <c r="C63" s="61"/>
      <c r="D63" s="37"/>
      <c r="E63" s="61"/>
      <c r="F63" s="61"/>
      <c r="G63" s="35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38"/>
      <c r="AN63" s="37"/>
      <c r="AO63" s="61">
        <v>4</v>
      </c>
      <c r="AP63" s="61">
        <v>4</v>
      </c>
      <c r="AQ63" s="61"/>
      <c r="AR63" s="61">
        <v>1</v>
      </c>
      <c r="AS63" s="36">
        <f>AN63*VLOOKUP(AO63&amp;"-"&amp;AR63&amp;"F",tabla,2,FALSE)</f>
        <v>0</v>
      </c>
      <c r="AT63" s="129"/>
      <c r="AU63" s="115">
        <f>AS63+AU59</f>
        <v>0.772322175</v>
      </c>
      <c r="AV63" s="111">
        <v>1</v>
      </c>
      <c r="AW63" s="35">
        <v>1</v>
      </c>
      <c r="AX63" s="35"/>
      <c r="AY63" s="61"/>
      <c r="AZ63" s="61"/>
      <c r="BA63" s="61">
        <f>+AV63*D63</f>
        <v>0</v>
      </c>
      <c r="BB63" s="61">
        <f>+AW63*D63</f>
        <v>0</v>
      </c>
      <c r="BC63" s="61">
        <f>+AX63*D63</f>
        <v>0</v>
      </c>
      <c r="BD63" s="61">
        <f>+BC63+BC63</f>
        <v>0</v>
      </c>
      <c r="BE63" s="61"/>
      <c r="BF63" s="61"/>
      <c r="BG63" s="61"/>
      <c r="BH63" s="61"/>
      <c r="BI63" s="61"/>
      <c r="BJ63" s="61"/>
      <c r="BK63" s="61"/>
      <c r="BL63" s="61"/>
      <c r="BM63" s="61"/>
    </row>
    <row r="64" spans="2:65" hidden="1" x14ac:dyDescent="0.2"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4"/>
      <c r="AO64" s="165"/>
      <c r="AP64" s="166"/>
      <c r="AQ64" s="166"/>
      <c r="AR64" s="166"/>
      <c r="AS64" s="166"/>
      <c r="AT64" s="166"/>
      <c r="AU64" s="167"/>
      <c r="AV64" s="107"/>
      <c r="AW64" s="107"/>
      <c r="AX64" s="96"/>
      <c r="AY64" s="35"/>
      <c r="AZ64" s="35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</row>
    <row r="65" spans="2:65" hidden="1" x14ac:dyDescent="0.2">
      <c r="B65" s="114"/>
      <c r="C65" s="61"/>
      <c r="D65" s="37"/>
      <c r="E65" s="61"/>
      <c r="F65" s="61"/>
      <c r="G65" s="35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38"/>
      <c r="AN65" s="37"/>
      <c r="AO65" s="61">
        <v>4</v>
      </c>
      <c r="AP65" s="61">
        <v>4</v>
      </c>
      <c r="AQ65" s="61"/>
      <c r="AR65" s="61">
        <v>1</v>
      </c>
      <c r="AS65" s="36">
        <f>AN65*VLOOKUP(AO65&amp;"-"&amp;AR65&amp;"F",tabla,2,FALSE)</f>
        <v>0</v>
      </c>
      <c r="AT65" s="129"/>
      <c r="AU65" s="115">
        <f>AS65+AU63</f>
        <v>0.772322175</v>
      </c>
      <c r="AV65" s="111">
        <v>1</v>
      </c>
      <c r="AW65" s="35">
        <v>1</v>
      </c>
      <c r="AX65" s="35"/>
      <c r="AY65" s="61"/>
      <c r="AZ65" s="61"/>
      <c r="BA65" s="61">
        <f>+AV65*D65</f>
        <v>0</v>
      </c>
      <c r="BB65" s="61">
        <f>+AW65*D65</f>
        <v>0</v>
      </c>
      <c r="BC65" s="61">
        <f>+AX65*D65</f>
        <v>0</v>
      </c>
      <c r="BD65" s="61">
        <f>+BC65+BC65</f>
        <v>0</v>
      </c>
      <c r="BE65" s="61"/>
      <c r="BF65" s="61"/>
      <c r="BG65" s="61"/>
      <c r="BH65" s="61"/>
      <c r="BI65" s="61"/>
      <c r="BJ65" s="61"/>
      <c r="BK65" s="61"/>
      <c r="BL65" s="61"/>
      <c r="BM65" s="61"/>
    </row>
    <row r="66" spans="2:65" hidden="1" x14ac:dyDescent="0.2"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4"/>
      <c r="AO66" s="165"/>
      <c r="AP66" s="166"/>
      <c r="AQ66" s="166"/>
      <c r="AR66" s="166"/>
      <c r="AS66" s="166"/>
      <c r="AT66" s="166"/>
      <c r="AU66" s="167"/>
      <c r="AV66" s="107"/>
      <c r="AW66" s="107"/>
      <c r="AX66" s="96"/>
      <c r="AY66" s="35"/>
      <c r="AZ66" s="35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</row>
    <row r="67" spans="2:65" hidden="1" x14ac:dyDescent="0.2">
      <c r="B67" s="114"/>
      <c r="C67" s="61"/>
      <c r="D67" s="37"/>
      <c r="E67" s="61"/>
      <c r="F67" s="61"/>
      <c r="G67" s="35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38"/>
      <c r="AN67" s="37"/>
      <c r="AO67" s="61">
        <v>4</v>
      </c>
      <c r="AP67" s="61">
        <v>4</v>
      </c>
      <c r="AQ67" s="61"/>
      <c r="AR67" s="61">
        <v>1</v>
      </c>
      <c r="AS67" s="36">
        <f>AN67*VLOOKUP(AO67&amp;"-"&amp;AR67&amp;"F",tabla,2,FALSE)</f>
        <v>0</v>
      </c>
      <c r="AT67" s="129"/>
      <c r="AU67" s="115">
        <f>AS67+AU65</f>
        <v>0.772322175</v>
      </c>
      <c r="AV67" s="111">
        <v>1</v>
      </c>
      <c r="AW67" s="35">
        <v>1</v>
      </c>
      <c r="AX67" s="35"/>
      <c r="AY67" s="61"/>
      <c r="AZ67" s="61"/>
      <c r="BA67" s="61">
        <f>+AV67*D67</f>
        <v>0</v>
      </c>
      <c r="BB67" s="61">
        <f>+AW67*D67</f>
        <v>0</v>
      </c>
      <c r="BC67" s="61">
        <f>+AX67*D67</f>
        <v>0</v>
      </c>
      <c r="BD67" s="61">
        <f>+BC67+BC67</f>
        <v>0</v>
      </c>
      <c r="BE67" s="61"/>
      <c r="BF67" s="61"/>
      <c r="BG67" s="61"/>
      <c r="BH67" s="61"/>
      <c r="BI67" s="61"/>
      <c r="BJ67" s="61"/>
      <c r="BK67" s="61"/>
      <c r="BL67" s="61"/>
      <c r="BM67" s="61"/>
    </row>
    <row r="68" spans="2:65" hidden="1" x14ac:dyDescent="0.2"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4"/>
      <c r="AO68" s="165"/>
      <c r="AP68" s="166"/>
      <c r="AQ68" s="166"/>
      <c r="AR68" s="166"/>
      <c r="AS68" s="166"/>
      <c r="AT68" s="166"/>
      <c r="AU68" s="167"/>
      <c r="AV68" s="107"/>
      <c r="AW68" s="107"/>
      <c r="AX68" s="96"/>
      <c r="AY68" s="35"/>
      <c r="AZ68" s="35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</row>
    <row r="69" spans="2:65" hidden="1" x14ac:dyDescent="0.2">
      <c r="B69" s="114"/>
      <c r="C69" s="61"/>
      <c r="D69" s="37"/>
      <c r="E69" s="61"/>
      <c r="F69" s="61"/>
      <c r="G69" s="35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38"/>
      <c r="AN69" s="37"/>
      <c r="AO69" s="61">
        <v>4</v>
      </c>
      <c r="AP69" s="61">
        <v>4</v>
      </c>
      <c r="AQ69" s="61"/>
      <c r="AR69" s="61">
        <v>1</v>
      </c>
      <c r="AS69" s="36">
        <f>AN69*VLOOKUP(AO69&amp;"-"&amp;AR69&amp;"F",tabla,2,FALSE)</f>
        <v>0</v>
      </c>
      <c r="AT69" s="129"/>
      <c r="AU69" s="115">
        <f>AS69+AU67</f>
        <v>0.772322175</v>
      </c>
      <c r="AV69" s="111">
        <v>1</v>
      </c>
      <c r="AW69" s="35">
        <v>1</v>
      </c>
      <c r="AX69" s="35"/>
      <c r="AY69" s="61"/>
      <c r="AZ69" s="61"/>
      <c r="BA69" s="61">
        <f>+AV69*D69</f>
        <v>0</v>
      </c>
      <c r="BB69" s="61">
        <f>+AW69*D69</f>
        <v>0</v>
      </c>
      <c r="BC69" s="61">
        <f>+AX69*D69</f>
        <v>0</v>
      </c>
      <c r="BD69" s="61">
        <f>+BC69+BC69</f>
        <v>0</v>
      </c>
      <c r="BE69" s="61"/>
      <c r="BF69" s="61"/>
      <c r="BG69" s="61"/>
      <c r="BH69" s="61"/>
      <c r="BI69" s="61"/>
      <c r="BJ69" s="61"/>
      <c r="BK69" s="61"/>
      <c r="BL69" s="61"/>
      <c r="BM69" s="61"/>
    </row>
    <row r="70" spans="2:65" hidden="1" x14ac:dyDescent="0.2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4"/>
      <c r="AO70" s="165"/>
      <c r="AP70" s="166"/>
      <c r="AQ70" s="166"/>
      <c r="AR70" s="166"/>
      <c r="AS70" s="166"/>
      <c r="AT70" s="166"/>
      <c r="AU70" s="167"/>
      <c r="AV70" s="107"/>
      <c r="AW70" s="107"/>
      <c r="AX70" s="96"/>
      <c r="AY70" s="35"/>
      <c r="AZ70" s="35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</row>
    <row r="71" spans="2:65" hidden="1" x14ac:dyDescent="0.2">
      <c r="B71" s="114"/>
      <c r="C71" s="61"/>
      <c r="D71" s="37"/>
      <c r="E71" s="61"/>
      <c r="F71" s="61"/>
      <c r="G71" s="35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38"/>
      <c r="AN71" s="37"/>
      <c r="AO71" s="61">
        <v>4</v>
      </c>
      <c r="AP71" s="61">
        <v>4</v>
      </c>
      <c r="AQ71" s="61"/>
      <c r="AR71" s="61">
        <v>1</v>
      </c>
      <c r="AS71" s="36">
        <f>AN71*VLOOKUP(AO71&amp;"-"&amp;AR71&amp;"F",tabla,2,FALSE)</f>
        <v>0</v>
      </c>
      <c r="AT71" s="129"/>
      <c r="AU71" s="115">
        <f>AS71+AU53</f>
        <v>0.772322175</v>
      </c>
      <c r="AV71" s="111">
        <v>1</v>
      </c>
      <c r="AW71" s="35">
        <v>1</v>
      </c>
      <c r="AX71" s="35"/>
      <c r="AY71" s="61"/>
      <c r="AZ71" s="61"/>
      <c r="BA71" s="61">
        <f>+AV71*D71</f>
        <v>0</v>
      </c>
      <c r="BB71" s="61">
        <f>+AW71*D71</f>
        <v>0</v>
      </c>
      <c r="BC71" s="61">
        <f>+AX71*D71</f>
        <v>0</v>
      </c>
      <c r="BD71" s="61">
        <f>+BC71+BC71</f>
        <v>0</v>
      </c>
      <c r="BE71" s="61"/>
      <c r="BF71" s="61"/>
      <c r="BG71" s="61"/>
      <c r="BH71" s="61"/>
      <c r="BI71" s="61"/>
      <c r="BJ71" s="61"/>
      <c r="BK71" s="61"/>
      <c r="BL71" s="61"/>
      <c r="BM71" s="61"/>
    </row>
    <row r="72" spans="2:65" hidden="1" x14ac:dyDescent="0.2"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4"/>
      <c r="AO72" s="165"/>
      <c r="AP72" s="166"/>
      <c r="AQ72" s="166"/>
      <c r="AR72" s="166"/>
      <c r="AS72" s="166"/>
      <c r="AT72" s="166"/>
      <c r="AU72" s="167"/>
      <c r="AV72" s="107"/>
      <c r="AW72" s="107"/>
      <c r="AX72" s="96"/>
      <c r="AY72" s="35"/>
      <c r="AZ72" s="35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</row>
    <row r="73" spans="2:65" hidden="1" x14ac:dyDescent="0.2">
      <c r="B73" s="114"/>
      <c r="C73" s="61"/>
      <c r="D73" s="37"/>
      <c r="E73" s="61"/>
      <c r="F73" s="61"/>
      <c r="G73" s="35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38"/>
      <c r="AN73" s="37"/>
      <c r="AO73" s="61">
        <v>4</v>
      </c>
      <c r="AP73" s="61">
        <v>4</v>
      </c>
      <c r="AQ73" s="61"/>
      <c r="AR73" s="61">
        <v>3</v>
      </c>
      <c r="AS73" s="36">
        <f>AN73*VLOOKUP(AO73&amp;"-"&amp;AR73&amp;"F",tabla,2,FALSE)</f>
        <v>0</v>
      </c>
      <c r="AT73" s="129"/>
      <c r="AU73" s="115">
        <f>AS73+AU71</f>
        <v>0.772322175</v>
      </c>
      <c r="AV73" s="111">
        <v>1</v>
      </c>
      <c r="AW73" s="35">
        <v>1</v>
      </c>
      <c r="AX73" s="35"/>
      <c r="AY73" s="61"/>
      <c r="AZ73" s="61"/>
      <c r="BA73" s="61">
        <f>+AV73*D73</f>
        <v>0</v>
      </c>
      <c r="BB73" s="61">
        <f>+AW73*D73</f>
        <v>0</v>
      </c>
      <c r="BC73" s="61">
        <f>+AX73*D73</f>
        <v>0</v>
      </c>
      <c r="BD73" s="61">
        <f>+BC73+BC73</f>
        <v>0</v>
      </c>
      <c r="BE73" s="61"/>
      <c r="BF73" s="61"/>
      <c r="BG73" s="61"/>
      <c r="BH73" s="61"/>
      <c r="BI73" s="61"/>
      <c r="BJ73" s="61"/>
      <c r="BK73" s="61"/>
      <c r="BL73" s="61"/>
      <c r="BM73" s="61"/>
    </row>
    <row r="74" spans="2:65" ht="12" thickBot="1" x14ac:dyDescent="0.25">
      <c r="B74" s="168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70"/>
      <c r="AO74" s="171"/>
      <c r="AP74" s="172"/>
      <c r="AQ74" s="172"/>
      <c r="AR74" s="172"/>
      <c r="AS74" s="172"/>
      <c r="AT74" s="172"/>
      <c r="AU74" s="173"/>
      <c r="AV74" s="107"/>
      <c r="AW74" s="107"/>
      <c r="AX74" s="96"/>
      <c r="AY74" s="35"/>
      <c r="AZ74" s="35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</row>
    <row r="75" spans="2:65" x14ac:dyDescent="0.2">
      <c r="BC75" s="97" t="s">
        <v>75</v>
      </c>
      <c r="BD75" s="98">
        <f t="shared" ref="BD75:BM75" si="0">SUM(BD7:BD17)</f>
        <v>0</v>
      </c>
      <c r="BE75" s="98">
        <f t="shared" si="0"/>
        <v>0</v>
      </c>
      <c r="BF75" s="98">
        <f t="shared" si="0"/>
        <v>0</v>
      </c>
      <c r="BG75" s="98">
        <f t="shared" si="0"/>
        <v>0</v>
      </c>
      <c r="BH75" s="98">
        <f t="shared" si="0"/>
        <v>0</v>
      </c>
      <c r="BI75" s="98">
        <f t="shared" si="0"/>
        <v>0</v>
      </c>
      <c r="BJ75" s="98">
        <f t="shared" si="0"/>
        <v>0</v>
      </c>
      <c r="BK75" s="98">
        <f t="shared" si="0"/>
        <v>0</v>
      </c>
      <c r="BL75" s="98">
        <f t="shared" si="0"/>
        <v>0</v>
      </c>
      <c r="BM75" s="98">
        <f t="shared" si="0"/>
        <v>0</v>
      </c>
    </row>
    <row r="76" spans="2:65" x14ac:dyDescent="0.2">
      <c r="BC76" s="97" t="s">
        <v>83</v>
      </c>
      <c r="BD76" s="98">
        <f>+BD75*1.1</f>
        <v>0</v>
      </c>
      <c r="BE76" s="98">
        <f t="shared" ref="BE76:BM76" si="1">+BE75*1.1</f>
        <v>0</v>
      </c>
      <c r="BF76" s="98">
        <f t="shared" si="1"/>
        <v>0</v>
      </c>
      <c r="BG76" s="98">
        <f t="shared" si="1"/>
        <v>0</v>
      </c>
      <c r="BH76" s="98">
        <f t="shared" si="1"/>
        <v>0</v>
      </c>
      <c r="BI76" s="98">
        <f t="shared" si="1"/>
        <v>0</v>
      </c>
      <c r="BJ76" s="98">
        <f t="shared" si="1"/>
        <v>0</v>
      </c>
      <c r="BK76" s="98">
        <f t="shared" si="1"/>
        <v>0</v>
      </c>
      <c r="BL76" s="98">
        <f t="shared" si="1"/>
        <v>0</v>
      </c>
      <c r="BM76" s="98">
        <f t="shared" si="1"/>
        <v>0</v>
      </c>
    </row>
  </sheetData>
  <mergeCells count="86">
    <mergeCell ref="B74:AN74"/>
    <mergeCell ref="AO74:AU74"/>
    <mergeCell ref="B68:AN68"/>
    <mergeCell ref="AO68:AU68"/>
    <mergeCell ref="B70:AN70"/>
    <mergeCell ref="AO70:AU70"/>
    <mergeCell ref="B72:AN72"/>
    <mergeCell ref="AO72:AU72"/>
    <mergeCell ref="AV60:AX60"/>
    <mergeCell ref="B62:AN62"/>
    <mergeCell ref="AO62:AU62"/>
    <mergeCell ref="B64:AN64"/>
    <mergeCell ref="AO64:AU64"/>
    <mergeCell ref="B66:AN66"/>
    <mergeCell ref="AO66:AU66"/>
    <mergeCell ref="B54:AN54"/>
    <mergeCell ref="AO54:AU54"/>
    <mergeCell ref="B56:AN56"/>
    <mergeCell ref="AO56:AU56"/>
    <mergeCell ref="B60:AN60"/>
    <mergeCell ref="AO60:AU60"/>
    <mergeCell ref="AV38:AX38"/>
    <mergeCell ref="B52:AN52"/>
    <mergeCell ref="AO52:AU52"/>
    <mergeCell ref="AV52:AX52"/>
    <mergeCell ref="B42:AN42"/>
    <mergeCell ref="AO42:AU42"/>
    <mergeCell ref="AV42:AX42"/>
    <mergeCell ref="B44:AN44"/>
    <mergeCell ref="AO44:AU44"/>
    <mergeCell ref="B46:AN46"/>
    <mergeCell ref="AO46:AU46"/>
    <mergeCell ref="B48:AN48"/>
    <mergeCell ref="AO48:AU48"/>
    <mergeCell ref="AV48:AX48"/>
    <mergeCell ref="B50:AN50"/>
    <mergeCell ref="AO50:AU50"/>
    <mergeCell ref="B40:AN40"/>
    <mergeCell ref="AO40:AU40"/>
    <mergeCell ref="B30:AN30"/>
    <mergeCell ref="B32:AN32"/>
    <mergeCell ref="AO32:AU32"/>
    <mergeCell ref="B36:AN36"/>
    <mergeCell ref="AO36:AU36"/>
    <mergeCell ref="B38:AN38"/>
    <mergeCell ref="AO38:AU38"/>
    <mergeCell ref="B22:AN22"/>
    <mergeCell ref="AO22:AU22"/>
    <mergeCell ref="AV32:AX32"/>
    <mergeCell ref="B34:AN34"/>
    <mergeCell ref="AO34:AU34"/>
    <mergeCell ref="B24:AN24"/>
    <mergeCell ref="AO24:AU24"/>
    <mergeCell ref="B26:AN26"/>
    <mergeCell ref="AO26:AU26"/>
    <mergeCell ref="AV26:AX26"/>
    <mergeCell ref="B28:AN28"/>
    <mergeCell ref="AO28:AU28"/>
    <mergeCell ref="AV14:AX14"/>
    <mergeCell ref="B18:AN18"/>
    <mergeCell ref="B20:AN20"/>
    <mergeCell ref="AO20:AU20"/>
    <mergeCell ref="AV20:AX20"/>
    <mergeCell ref="B16:AN16"/>
    <mergeCell ref="AO16:AU16"/>
    <mergeCell ref="B5:AU5"/>
    <mergeCell ref="B6:AN6"/>
    <mergeCell ref="B8:AN8"/>
    <mergeCell ref="AO8:AU8"/>
    <mergeCell ref="B12:AN12"/>
    <mergeCell ref="AO12:AU12"/>
    <mergeCell ref="B14:AN14"/>
    <mergeCell ref="AO14:AU14"/>
    <mergeCell ref="AV8:AX8"/>
    <mergeCell ref="B10:AN10"/>
    <mergeCell ref="AO10:AU10"/>
    <mergeCell ref="B2:AU2"/>
    <mergeCell ref="AV2:BM2"/>
    <mergeCell ref="B3:B4"/>
    <mergeCell ref="C3:C4"/>
    <mergeCell ref="AR3:AR4"/>
    <mergeCell ref="AS3:AU3"/>
    <mergeCell ref="AV3:AX3"/>
    <mergeCell ref="AY3:AY4"/>
    <mergeCell ref="AZ3:AZ4"/>
    <mergeCell ref="BA3:BC3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K REG</vt:lpstr>
      <vt:lpstr>tabla</vt:lpstr>
      <vt:lpstr>BALANCE</vt:lpstr>
      <vt:lpstr> REGULACION CTO D</vt:lpstr>
      <vt:lpstr> REGULACION CTO E</vt:lpstr>
      <vt:lpstr> REGULACION CTO F</vt:lpstr>
      <vt:lpstr> REGULACION CTO H</vt:lpstr>
      <vt:lpstr>' REGULACION CTO D'!Área_de_impresión</vt:lpstr>
      <vt:lpstr>' REGULACION CTO E'!Área_de_impresión</vt:lpstr>
      <vt:lpstr>' REGULACION CTO F'!Área_de_impresión</vt:lpstr>
      <vt:lpstr>' REGULACION CTO H'!Área_de_impresión</vt:lpstr>
      <vt:lpstr>BALANCE!Área_de_impresión</vt:lpstr>
      <vt:lpstr>' REGULACION CTO D'!tabla</vt:lpstr>
      <vt:lpstr>' REGULACION CTO E'!tabla</vt:lpstr>
      <vt:lpstr>' REGULACION CTO F'!tabla</vt:lpstr>
      <vt:lpstr>' REGULACION CTO H'!tabla</vt:lpstr>
    </vt:vector>
  </TitlesOfParts>
  <Company>CONSULTORIA COLOMBIANA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Usuarios</dc:creator>
  <cp:lastModifiedBy>GABRIEL JAIME ROMERO CHOPERENA</cp:lastModifiedBy>
  <cp:lastPrinted>2011-11-08T21:51:57Z</cp:lastPrinted>
  <dcterms:created xsi:type="dcterms:W3CDTF">2000-07-11T14:07:34Z</dcterms:created>
  <dcterms:modified xsi:type="dcterms:W3CDTF">2020-06-04T12:43:26Z</dcterms:modified>
</cp:coreProperties>
</file>